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9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0.xml" ContentType="application/vnd.openxmlformats-officedocument.drawingml.chartshapes+xml"/>
  <Override PartName="/xl/charts/chart48.xml" ContentType="application/vnd.openxmlformats-officedocument.drawingml.chart+xml"/>
  <Override PartName="/xl/drawings/drawing11.xml" ContentType="application/vnd.openxmlformats-officedocument.drawingml.chartshapes+xml"/>
  <Override PartName="/xl/charts/chart49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105" windowWidth="15240" windowHeight="7080" tabRatio="930"/>
  </bookViews>
  <sheets>
    <sheet name="APRESENTAÇÃO" sheetId="71" r:id="rId1"/>
    <sheet name="LEGENDA" sheetId="73" r:id="rId2"/>
    <sheet name="1 Sol" sheetId="80" r:id="rId3"/>
    <sheet name="2 Chuva" sheetId="5" r:id="rId4"/>
    <sheet name="3 Vento" sheetId="6" r:id="rId5"/>
    <sheet name="4 Soerguimento" sheetId="2" r:id="rId6"/>
    <sheet name="5 Nascente" sheetId="4" r:id="rId7"/>
    <sheet name="6  CO2" sheetId="64" r:id="rId8"/>
    <sheet name="7 CH4" sheetId="84" r:id="rId9"/>
    <sheet name="8  N2" sheetId="25" r:id="rId10"/>
    <sheet name="9 -18 Nutrientes solo prof." sheetId="8" r:id="rId11"/>
    <sheet name="19-31 Restauração" sheetId="83" r:id="rId12"/>
    <sheet name="EmUSD - EmR$" sheetId="85" r:id="rId13"/>
    <sheet name="Avaliação Emergética" sheetId="42" r:id="rId14"/>
    <sheet name="Restaura - bens " sheetId="87" r:id="rId15"/>
    <sheet name="Restaura -  serviços " sheetId="88" r:id="rId16"/>
  </sheets>
  <calcPr calcId="145621"/>
</workbook>
</file>

<file path=xl/calcChain.xml><?xml version="1.0" encoding="utf-8"?>
<calcChain xmlns="http://schemas.openxmlformats.org/spreadsheetml/2006/main">
  <c r="U23" i="88" l="1"/>
  <c r="E7" i="8" l="1"/>
  <c r="E26" i="8" s="1"/>
  <c r="J5" i="64"/>
  <c r="D16" i="5"/>
  <c r="I6" i="6" l="1"/>
  <c r="U24" i="88"/>
  <c r="V71" i="87"/>
  <c r="V72" i="87"/>
  <c r="V73" i="87"/>
  <c r="V74" i="87"/>
  <c r="V75" i="87"/>
  <c r="V76" i="87"/>
  <c r="V70" i="87"/>
  <c r="U77" i="87"/>
  <c r="F82" i="88"/>
  <c r="D11" i="88" l="1"/>
  <c r="D25" i="88"/>
  <c r="DE45" i="42" l="1"/>
  <c r="DE48" i="42"/>
  <c r="DE49" i="42"/>
  <c r="DE50" i="42"/>
  <c r="DE51" i="42"/>
  <c r="DE52" i="42"/>
  <c r="DE53" i="42"/>
  <c r="DD45" i="42"/>
  <c r="DD48" i="42"/>
  <c r="DD49" i="42"/>
  <c r="DD50" i="42"/>
  <c r="DD51" i="42"/>
  <c r="DD52" i="42"/>
  <c r="DD53" i="42"/>
  <c r="DC45" i="42"/>
  <c r="DC48" i="42"/>
  <c r="DC49" i="42"/>
  <c r="DC50" i="42"/>
  <c r="DC51" i="42"/>
  <c r="DC52" i="42"/>
  <c r="DC53" i="42"/>
  <c r="DB45" i="42"/>
  <c r="DB48" i="42"/>
  <c r="DB49" i="42"/>
  <c r="DB50" i="42"/>
  <c r="DB51" i="42"/>
  <c r="DB52" i="42"/>
  <c r="DB53" i="42"/>
  <c r="DA45" i="42"/>
  <c r="DA48" i="42"/>
  <c r="DA49" i="42"/>
  <c r="DA50" i="42"/>
  <c r="DA51" i="42"/>
  <c r="DA52" i="42"/>
  <c r="DA53" i="42"/>
  <c r="CL26" i="42"/>
  <c r="CL12" i="42"/>
  <c r="CL11" i="42"/>
  <c r="CL9" i="42"/>
  <c r="CL8" i="42"/>
  <c r="CL7" i="42"/>
  <c r="CL6" i="42"/>
  <c r="BZ26" i="42"/>
  <c r="BZ12" i="42"/>
  <c r="BZ11" i="42"/>
  <c r="BZ9" i="42"/>
  <c r="BZ8" i="42"/>
  <c r="BZ7" i="42"/>
  <c r="BZ6" i="42"/>
  <c r="BN26" i="42"/>
  <c r="BN12" i="42"/>
  <c r="BN11" i="42"/>
  <c r="BN9" i="42"/>
  <c r="BN8" i="42"/>
  <c r="BN7" i="42"/>
  <c r="BN6" i="42"/>
  <c r="BB26" i="42"/>
  <c r="BB12" i="42"/>
  <c r="BB11" i="42"/>
  <c r="BB9" i="42"/>
  <c r="BB8" i="42"/>
  <c r="BB7" i="42"/>
  <c r="BB6" i="42"/>
  <c r="O7" i="25"/>
  <c r="O9" i="25"/>
  <c r="O11" i="25"/>
  <c r="O13" i="25"/>
  <c r="O15" i="25"/>
  <c r="O17" i="25"/>
  <c r="O6" i="25"/>
  <c r="AD13" i="42" s="1"/>
  <c r="F13" i="42"/>
  <c r="AP12" i="42"/>
  <c r="AP11" i="42"/>
  <c r="AP9" i="42"/>
  <c r="AP8" i="42"/>
  <c r="AP7" i="42"/>
  <c r="AP6" i="42"/>
  <c r="E28" i="64"/>
  <c r="R13" i="42" l="1"/>
  <c r="AD12" i="42"/>
  <c r="O5" i="25"/>
  <c r="G7" i="84"/>
  <c r="G8" i="84"/>
  <c r="G9" i="84"/>
  <c r="G10" i="84"/>
  <c r="G11" i="84"/>
  <c r="G12" i="84"/>
  <c r="G13" i="84"/>
  <c r="G14" i="84"/>
  <c r="G15" i="84"/>
  <c r="G16" i="84"/>
  <c r="G17" i="84"/>
  <c r="G18" i="84"/>
  <c r="G19" i="84"/>
  <c r="G6" i="84"/>
  <c r="AD11" i="42"/>
  <c r="AD9" i="42"/>
  <c r="AD8" i="42"/>
  <c r="AD7" i="42"/>
  <c r="AD6" i="42"/>
  <c r="AG6" i="42" s="1"/>
  <c r="AI6" i="42" s="1"/>
  <c r="F11" i="42"/>
  <c r="D23" i="64"/>
  <c r="E40" i="64"/>
  <c r="E27" i="64"/>
  <c r="E29" i="64"/>
  <c r="E30" i="64"/>
  <c r="E31" i="64"/>
  <c r="E32" i="64"/>
  <c r="E33" i="64"/>
  <c r="E34" i="64"/>
  <c r="E35" i="64"/>
  <c r="E36" i="64"/>
  <c r="E37" i="64"/>
  <c r="E38" i="64"/>
  <c r="E39" i="64"/>
  <c r="D28" i="64"/>
  <c r="H29" i="42"/>
  <c r="BD27" i="42"/>
  <c r="AR27" i="42"/>
  <c r="T35" i="42"/>
  <c r="T34" i="42"/>
  <c r="T29" i="42"/>
  <c r="T27" i="42"/>
  <c r="T37" i="42"/>
  <c r="CN27" i="42"/>
  <c r="CR18" i="42"/>
  <c r="CQ18" i="42"/>
  <c r="CP18" i="42"/>
  <c r="CO18" i="42"/>
  <c r="CB27" i="42"/>
  <c r="CF18" i="42"/>
  <c r="CE18" i="42"/>
  <c r="CD18" i="42"/>
  <c r="CC18" i="42"/>
  <c r="BP27" i="42"/>
  <c r="BS18" i="42"/>
  <c r="BR18" i="42"/>
  <c r="BT18" i="42" s="1"/>
  <c r="BQ18" i="42"/>
  <c r="BH18" i="42"/>
  <c r="BG18" i="42"/>
  <c r="BF18" i="42"/>
  <c r="BE18" i="42"/>
  <c r="AT18" i="42"/>
  <c r="AV18" i="42" s="1"/>
  <c r="AS18" i="42"/>
  <c r="AU18" i="42" s="1"/>
  <c r="AF27" i="42"/>
  <c r="AI18" i="42"/>
  <c r="AH18" i="42"/>
  <c r="AJ18" i="42" s="1"/>
  <c r="AG18" i="42"/>
  <c r="H37" i="42" l="1"/>
  <c r="H35" i="42"/>
  <c r="F28" i="83"/>
  <c r="E192" i="83" s="1"/>
  <c r="F37" i="42" s="1"/>
  <c r="E12" i="83"/>
  <c r="E11" i="83"/>
  <c r="E18" i="83"/>
  <c r="E8" i="83"/>
  <c r="E7" i="83"/>
  <c r="H34" i="42"/>
  <c r="R37" i="42" l="1"/>
  <c r="U37" i="42" s="1"/>
  <c r="W37" i="42" s="1"/>
  <c r="AD37" i="42"/>
  <c r="CP37" i="42"/>
  <c r="CR37" i="42" s="1"/>
  <c r="CO37" i="42"/>
  <c r="CQ37" i="42" s="1"/>
  <c r="CD37" i="42"/>
  <c r="CF37" i="42" s="1"/>
  <c r="CC37" i="42"/>
  <c r="CE37" i="42" s="1"/>
  <c r="BQ37" i="42"/>
  <c r="BS37" i="42" s="1"/>
  <c r="BR37" i="42"/>
  <c r="BT37" i="42" s="1"/>
  <c r="BE37" i="42"/>
  <c r="BG37" i="42" s="1"/>
  <c r="BF37" i="42"/>
  <c r="BH37" i="42" s="1"/>
  <c r="AS37" i="42"/>
  <c r="AU37" i="42" s="1"/>
  <c r="AT37" i="42"/>
  <c r="AV37" i="42" s="1"/>
  <c r="I37" i="42"/>
  <c r="K37" i="42" s="1"/>
  <c r="J37" i="42"/>
  <c r="L37" i="42" s="1"/>
  <c r="F10" i="83"/>
  <c r="E14" i="83"/>
  <c r="E19" i="4"/>
  <c r="F19" i="4"/>
  <c r="V37" i="42" l="1"/>
  <c r="X37" i="42" s="1"/>
  <c r="AH37" i="42"/>
  <c r="AJ37" i="42" s="1"/>
  <c r="AG37" i="42"/>
  <c r="AI37" i="42" s="1"/>
  <c r="H19" i="4"/>
  <c r="G19" i="4"/>
  <c r="D42" i="88"/>
  <c r="D41" i="88"/>
  <c r="D40" i="88"/>
  <c r="D39" i="88"/>
  <c r="D38" i="88"/>
  <c r="D37" i="88"/>
  <c r="D36" i="88"/>
  <c r="D24" i="88"/>
  <c r="F24" i="88" s="1"/>
  <c r="D26" i="88"/>
  <c r="D27" i="88"/>
  <c r="D28" i="88"/>
  <c r="D29" i="88"/>
  <c r="D23" i="88"/>
  <c r="F23" i="88" s="1"/>
  <c r="D10" i="88"/>
  <c r="D12" i="88"/>
  <c r="D13" i="88"/>
  <c r="D14" i="88"/>
  <c r="D15" i="88"/>
  <c r="D16" i="88"/>
  <c r="F29" i="88" l="1"/>
  <c r="F28" i="88"/>
  <c r="F27" i="88"/>
  <c r="F26" i="88"/>
  <c r="F25" i="88"/>
  <c r="CO10" i="42" l="1"/>
  <c r="CQ10" i="42" s="1"/>
  <c r="CP10" i="42"/>
  <c r="CR10" i="42" s="1"/>
  <c r="CC10" i="42"/>
  <c r="CE10" i="42" s="1"/>
  <c r="CD10" i="42"/>
  <c r="CF10" i="42" s="1"/>
  <c r="BQ10" i="42"/>
  <c r="BS10" i="42" s="1"/>
  <c r="BR10" i="42"/>
  <c r="BT10" i="42" s="1"/>
  <c r="BE10" i="42"/>
  <c r="BG10" i="42" s="1"/>
  <c r="BF10" i="42"/>
  <c r="BH10" i="42" s="1"/>
  <c r="AS10" i="42"/>
  <c r="AU10" i="42" s="1"/>
  <c r="AT10" i="42"/>
  <c r="AV10" i="42" s="1"/>
  <c r="AG10" i="42"/>
  <c r="AI10" i="42" s="1"/>
  <c r="AH10" i="42"/>
  <c r="AJ10" i="42" s="1"/>
  <c r="F16" i="88"/>
  <c r="F15" i="88"/>
  <c r="F14" i="88"/>
  <c r="F13" i="88"/>
  <c r="F12" i="88"/>
  <c r="F11" i="88"/>
  <c r="F10" i="88"/>
  <c r="G101" i="87" l="1"/>
  <c r="E95" i="87" l="1"/>
  <c r="F99" i="88" l="1"/>
  <c r="F98" i="88"/>
  <c r="F96" i="88"/>
  <c r="F95" i="88"/>
  <c r="F100" i="88"/>
  <c r="F97" i="88"/>
  <c r="F88" i="87" l="1"/>
  <c r="D29" i="64"/>
  <c r="D30" i="64"/>
  <c r="D31" i="64"/>
  <c r="D32" i="64"/>
  <c r="D33" i="64"/>
  <c r="D34" i="64"/>
  <c r="D35" i="64"/>
  <c r="D36" i="64"/>
  <c r="D37" i="64"/>
  <c r="D38" i="64"/>
  <c r="D39" i="64"/>
  <c r="D40" i="64"/>
  <c r="D27" i="64"/>
  <c r="D88" i="88" l="1"/>
  <c r="F88" i="88" s="1"/>
  <c r="E83" i="88"/>
  <c r="E84" i="88"/>
  <c r="E85" i="88"/>
  <c r="E86" i="88"/>
  <c r="D83" i="88"/>
  <c r="F83" i="88" s="1"/>
  <c r="D84" i="88"/>
  <c r="F84" i="88" s="1"/>
  <c r="D85" i="88"/>
  <c r="D86" i="88"/>
  <c r="D87" i="88"/>
  <c r="F87" i="88" s="1"/>
  <c r="D76" i="88"/>
  <c r="F76" i="88" s="1"/>
  <c r="D75" i="88"/>
  <c r="F75" i="88" s="1"/>
  <c r="D74" i="88"/>
  <c r="F74" i="88" s="1"/>
  <c r="D73" i="88"/>
  <c r="F73" i="88" s="1"/>
  <c r="D72" i="88"/>
  <c r="F72" i="88" s="1"/>
  <c r="D71" i="88"/>
  <c r="F71" i="88" s="1"/>
  <c r="D70" i="88"/>
  <c r="F70" i="88" s="1"/>
  <c r="F40" i="88"/>
  <c r="F42" i="88"/>
  <c r="F41" i="88"/>
  <c r="F39" i="88"/>
  <c r="F38" i="88"/>
  <c r="F37" i="88"/>
  <c r="F36" i="88"/>
  <c r="D65" i="88"/>
  <c r="F65" i="88" s="1"/>
  <c r="D64" i="88"/>
  <c r="F64" i="88" s="1"/>
  <c r="D63" i="88"/>
  <c r="D62" i="88"/>
  <c r="F62" i="88" s="1"/>
  <c r="D61" i="88"/>
  <c r="F61" i="88" s="1"/>
  <c r="D60" i="88"/>
  <c r="D59" i="88"/>
  <c r="E59" i="88"/>
  <c r="E60" i="88"/>
  <c r="E61" i="88"/>
  <c r="E62" i="88"/>
  <c r="E63" i="88"/>
  <c r="E48" i="88"/>
  <c r="E49" i="88"/>
  <c r="E50" i="88"/>
  <c r="E51" i="88"/>
  <c r="E52" i="88"/>
  <c r="J17" i="64"/>
  <c r="J8" i="64"/>
  <c r="J9" i="64"/>
  <c r="J10" i="64"/>
  <c r="J11" i="64"/>
  <c r="D51" i="88" s="1"/>
  <c r="J12" i="64"/>
  <c r="J13" i="64"/>
  <c r="J14" i="64"/>
  <c r="J15" i="64"/>
  <c r="D53" i="88" s="1"/>
  <c r="F53" i="88" s="1"/>
  <c r="J16" i="64"/>
  <c r="J6" i="64"/>
  <c r="J7" i="64"/>
  <c r="D54" i="88"/>
  <c r="F54" i="88" s="1"/>
  <c r="D52" i="88"/>
  <c r="D50" i="88"/>
  <c r="F50" i="88" s="1"/>
  <c r="D49" i="88"/>
  <c r="F49" i="88" s="1"/>
  <c r="D48" i="88"/>
  <c r="F99" i="87"/>
  <c r="E99" i="87"/>
  <c r="E96" i="87"/>
  <c r="G96" i="87" s="1"/>
  <c r="E97" i="87"/>
  <c r="E98" i="87"/>
  <c r="E100" i="87"/>
  <c r="F97" i="87"/>
  <c r="F95" i="87"/>
  <c r="F96" i="87"/>
  <c r="F98" i="87"/>
  <c r="F84" i="87"/>
  <c r="F85" i="87"/>
  <c r="F86" i="87"/>
  <c r="F87" i="87"/>
  <c r="F89" i="87"/>
  <c r="F83" i="87"/>
  <c r="G63" i="87"/>
  <c r="O63" i="87"/>
  <c r="J65" i="87"/>
  <c r="F66" i="87"/>
  <c r="G66" i="87"/>
  <c r="H66" i="87"/>
  <c r="I66" i="87"/>
  <c r="J66" i="87"/>
  <c r="K66" i="87"/>
  <c r="L66" i="87"/>
  <c r="M66" i="87"/>
  <c r="N66" i="87"/>
  <c r="O66" i="87"/>
  <c r="F67" i="87"/>
  <c r="G67" i="87"/>
  <c r="H67" i="87"/>
  <c r="I67" i="87"/>
  <c r="J67" i="87"/>
  <c r="K67" i="87"/>
  <c r="L67" i="87"/>
  <c r="M67" i="87"/>
  <c r="N67" i="87"/>
  <c r="O67" i="87"/>
  <c r="M61" i="87"/>
  <c r="E66" i="87"/>
  <c r="E67" i="87"/>
  <c r="E71" i="87"/>
  <c r="E72" i="87"/>
  <c r="E73" i="87"/>
  <c r="E74" i="87"/>
  <c r="E75" i="87"/>
  <c r="G56" i="87"/>
  <c r="G64" i="87" s="1"/>
  <c r="H56" i="87"/>
  <c r="H64" i="87" s="1"/>
  <c r="I56" i="87"/>
  <c r="I64" i="87" s="1"/>
  <c r="J56" i="87"/>
  <c r="J64" i="87" s="1"/>
  <c r="K56" i="87"/>
  <c r="K64" i="87" s="1"/>
  <c r="L56" i="87"/>
  <c r="L64" i="87" s="1"/>
  <c r="M56" i="87"/>
  <c r="M64" i="87" s="1"/>
  <c r="N56" i="87"/>
  <c r="N64" i="87" s="1"/>
  <c r="O56" i="87"/>
  <c r="O64" i="87" s="1"/>
  <c r="G55" i="87"/>
  <c r="H55" i="87"/>
  <c r="H63" i="87" s="1"/>
  <c r="I55" i="87"/>
  <c r="I63" i="87" s="1"/>
  <c r="J55" i="87"/>
  <c r="J63" i="87" s="1"/>
  <c r="K55" i="87"/>
  <c r="K63" i="87" s="1"/>
  <c r="L55" i="87"/>
  <c r="L63" i="87" s="1"/>
  <c r="M55" i="87"/>
  <c r="M63" i="87" s="1"/>
  <c r="N55" i="87"/>
  <c r="N63" i="87" s="1"/>
  <c r="O55" i="87"/>
  <c r="G54" i="87"/>
  <c r="G62" i="87" s="1"/>
  <c r="H54" i="87"/>
  <c r="H62" i="87" s="1"/>
  <c r="I54" i="87"/>
  <c r="I62" i="87" s="1"/>
  <c r="J54" i="87"/>
  <c r="J62" i="87" s="1"/>
  <c r="K54" i="87"/>
  <c r="K62" i="87" s="1"/>
  <c r="L54" i="87"/>
  <c r="L62" i="87" s="1"/>
  <c r="M54" i="87"/>
  <c r="M62" i="87" s="1"/>
  <c r="N54" i="87"/>
  <c r="N62" i="87" s="1"/>
  <c r="O54" i="87"/>
  <c r="O62" i="87" s="1"/>
  <c r="G53" i="87"/>
  <c r="G61" i="87" s="1"/>
  <c r="H53" i="87"/>
  <c r="H61" i="87" s="1"/>
  <c r="I53" i="87"/>
  <c r="I61" i="87" s="1"/>
  <c r="J53" i="87"/>
  <c r="J61" i="87" s="1"/>
  <c r="K53" i="87"/>
  <c r="K61" i="87" s="1"/>
  <c r="L53" i="87"/>
  <c r="L61" i="87" s="1"/>
  <c r="M53" i="87"/>
  <c r="N53" i="87"/>
  <c r="N61" i="87" s="1"/>
  <c r="O53" i="87"/>
  <c r="O61" i="87" s="1"/>
  <c r="E53" i="87"/>
  <c r="E61" i="87" s="1"/>
  <c r="E54" i="87"/>
  <c r="E62" i="87" s="1"/>
  <c r="E55" i="87"/>
  <c r="E63" i="87" s="1"/>
  <c r="E56" i="87"/>
  <c r="E64" i="87" s="1"/>
  <c r="F53" i="87"/>
  <c r="F61" i="87" s="1"/>
  <c r="F54" i="87"/>
  <c r="F62" i="87" s="1"/>
  <c r="F55" i="87"/>
  <c r="F63" i="87" s="1"/>
  <c r="F56" i="87"/>
  <c r="F64" i="87" s="1"/>
  <c r="E57" i="87"/>
  <c r="E65" i="87" s="1"/>
  <c r="J57" i="87"/>
  <c r="G57" i="87"/>
  <c r="G65" i="87" s="1"/>
  <c r="H57" i="87"/>
  <c r="H65" i="87" s="1"/>
  <c r="I57" i="87"/>
  <c r="I65" i="87" s="1"/>
  <c r="K57" i="87"/>
  <c r="K65" i="87" s="1"/>
  <c r="L57" i="87"/>
  <c r="L65" i="87" s="1"/>
  <c r="M57" i="87"/>
  <c r="M65" i="87" s="1"/>
  <c r="N57" i="87"/>
  <c r="N65" i="87" s="1"/>
  <c r="O57" i="87"/>
  <c r="O65" i="87" s="1"/>
  <c r="F57" i="87"/>
  <c r="F65" i="87" s="1"/>
  <c r="F180" i="83"/>
  <c r="E180" i="83"/>
  <c r="F26" i="42" s="1"/>
  <c r="AD26" i="42" s="1"/>
  <c r="V18" i="42"/>
  <c r="X18" i="42" s="1"/>
  <c r="U18" i="42"/>
  <c r="W18" i="42" s="1"/>
  <c r="F16" i="5"/>
  <c r="F12" i="42"/>
  <c r="F9" i="42"/>
  <c r="F8" i="42"/>
  <c r="F6" i="42"/>
  <c r="R6" i="42" s="1"/>
  <c r="J18" i="42"/>
  <c r="L18" i="42" s="1"/>
  <c r="I18" i="42"/>
  <c r="K18" i="42" s="1"/>
  <c r="F7" i="42"/>
  <c r="R15" i="88" l="1"/>
  <c r="U31" i="88" s="1"/>
  <c r="F52" i="88"/>
  <c r="R14" i="88" s="1"/>
  <c r="U29" i="88" s="1"/>
  <c r="F59" i="88"/>
  <c r="F63" i="88"/>
  <c r="R11" i="88"/>
  <c r="U25" i="88" s="1"/>
  <c r="R16" i="88"/>
  <c r="U34" i="88" s="1"/>
  <c r="F51" i="88"/>
  <c r="F60" i="88"/>
  <c r="R12" i="88"/>
  <c r="U27" i="88" s="1"/>
  <c r="D67" i="87"/>
  <c r="J26" i="42"/>
  <c r="R26" i="42"/>
  <c r="AP26" i="42" s="1"/>
  <c r="J12" i="42"/>
  <c r="L12" i="42" s="1"/>
  <c r="R12" i="42"/>
  <c r="V12" i="42" s="1"/>
  <c r="X12" i="42" s="1"/>
  <c r="J9" i="42"/>
  <c r="L9" i="42" s="1"/>
  <c r="R9" i="42"/>
  <c r="U9" i="42" s="1"/>
  <c r="W9" i="42" s="1"/>
  <c r="J6" i="42"/>
  <c r="L6" i="42" s="1"/>
  <c r="V6" i="42"/>
  <c r="X6" i="42" s="1"/>
  <c r="J13" i="42"/>
  <c r="L13" i="42" s="1"/>
  <c r="I7" i="42"/>
  <c r="K7" i="42" s="1"/>
  <c r="R7" i="42"/>
  <c r="I8" i="42"/>
  <c r="K8" i="42" s="1"/>
  <c r="R8" i="42"/>
  <c r="U8" i="42" s="1"/>
  <c r="W8" i="42" s="1"/>
  <c r="F48" i="88"/>
  <c r="G97" i="87"/>
  <c r="D64" i="87"/>
  <c r="U13" i="42"/>
  <c r="W13" i="42" s="1"/>
  <c r="F85" i="88"/>
  <c r="D65" i="87"/>
  <c r="D61" i="87"/>
  <c r="D66" i="87"/>
  <c r="D62" i="87"/>
  <c r="G95" i="87"/>
  <c r="D63" i="87"/>
  <c r="F86" i="88"/>
  <c r="G98" i="87"/>
  <c r="I26" i="42"/>
  <c r="K26" i="42" s="1"/>
  <c r="V8" i="42"/>
  <c r="X8" i="42" s="1"/>
  <c r="J8" i="42"/>
  <c r="L8" i="42" s="1"/>
  <c r="I6" i="42"/>
  <c r="I12" i="42"/>
  <c r="K12" i="42" s="1"/>
  <c r="I13" i="42"/>
  <c r="K13" i="42" s="1"/>
  <c r="I9" i="42"/>
  <c r="K9" i="42" s="1"/>
  <c r="J7" i="42"/>
  <c r="L7" i="42" s="1"/>
  <c r="R13" i="88" l="1"/>
  <c r="U28" i="88" s="1"/>
  <c r="U26" i="42"/>
  <c r="W26" i="42" s="1"/>
  <c r="V26" i="42"/>
  <c r="X26" i="42" s="1"/>
  <c r="CP26" i="42"/>
  <c r="CO26" i="42"/>
  <c r="CQ26" i="42" s="1"/>
  <c r="CC26" i="42"/>
  <c r="CE26" i="42" s="1"/>
  <c r="CD26" i="42"/>
  <c r="BR26" i="42"/>
  <c r="BQ26" i="42"/>
  <c r="BS26" i="42" s="1"/>
  <c r="BE26" i="42"/>
  <c r="BG26" i="42" s="1"/>
  <c r="BF26" i="42"/>
  <c r="AS26" i="42"/>
  <c r="AU26" i="42" s="1"/>
  <c r="AT26" i="42"/>
  <c r="U6" i="42"/>
  <c r="W6" i="42" s="1"/>
  <c r="L26" i="42"/>
  <c r="U12" i="42"/>
  <c r="W12" i="42" s="1"/>
  <c r="V13" i="42"/>
  <c r="X13" i="42" s="1"/>
  <c r="V9" i="42"/>
  <c r="X9" i="42" s="1"/>
  <c r="U7" i="42"/>
  <c r="W7" i="42" s="1"/>
  <c r="V7" i="42"/>
  <c r="X7" i="42" s="1"/>
  <c r="AH26" i="42"/>
  <c r="AG26" i="42"/>
  <c r="AI26" i="42" s="1"/>
  <c r="K6" i="42"/>
  <c r="CR26" i="42" l="1"/>
  <c r="CP9" i="42"/>
  <c r="CR9" i="42" s="1"/>
  <c r="CO9" i="42"/>
  <c r="CQ9" i="42" s="1"/>
  <c r="CP12" i="42"/>
  <c r="CR12" i="42" s="1"/>
  <c r="CO12" i="42"/>
  <c r="CQ12" i="42" s="1"/>
  <c r="CO6" i="42"/>
  <c r="CP6" i="42"/>
  <c r="CR6" i="42" s="1"/>
  <c r="CP7" i="42"/>
  <c r="CR7" i="42" s="1"/>
  <c r="CO7" i="42"/>
  <c r="CQ7" i="42" s="1"/>
  <c r="CC6" i="42"/>
  <c r="CD6" i="42"/>
  <c r="CF6" i="42" s="1"/>
  <c r="CC12" i="42"/>
  <c r="CE12" i="42" s="1"/>
  <c r="CD12" i="42"/>
  <c r="CF12" i="42" s="1"/>
  <c r="CD7" i="42"/>
  <c r="CF7" i="42" s="1"/>
  <c r="CC7" i="42"/>
  <c r="CE7" i="42" s="1"/>
  <c r="CD9" i="42"/>
  <c r="CF9" i="42" s="1"/>
  <c r="CC9" i="42"/>
  <c r="CE9" i="42" s="1"/>
  <c r="CF26" i="42"/>
  <c r="BR9" i="42"/>
  <c r="BT9" i="42" s="1"/>
  <c r="BQ9" i="42"/>
  <c r="BS9" i="42" s="1"/>
  <c r="BT26" i="42"/>
  <c r="BR12" i="42"/>
  <c r="BT12" i="42" s="1"/>
  <c r="BQ12" i="42"/>
  <c r="BS12" i="42" s="1"/>
  <c r="BQ6" i="42"/>
  <c r="BR6" i="42"/>
  <c r="BT6" i="42" s="1"/>
  <c r="BQ7" i="42"/>
  <c r="BS7" i="42" s="1"/>
  <c r="BR7" i="42"/>
  <c r="BT7" i="42" s="1"/>
  <c r="BE12" i="42"/>
  <c r="BG12" i="42" s="1"/>
  <c r="BF12" i="42"/>
  <c r="BH12" i="42" s="1"/>
  <c r="BF7" i="42"/>
  <c r="BH7" i="42" s="1"/>
  <c r="BE7" i="42"/>
  <c r="BG7" i="42" s="1"/>
  <c r="BE6" i="42"/>
  <c r="BF6" i="42"/>
  <c r="BH6" i="42" s="1"/>
  <c r="BF9" i="42"/>
  <c r="BH9" i="42" s="1"/>
  <c r="BE9" i="42"/>
  <c r="BG9" i="42" s="1"/>
  <c r="BH26" i="42"/>
  <c r="AS6" i="42"/>
  <c r="AT6" i="42"/>
  <c r="AV6" i="42" s="1"/>
  <c r="AT9" i="42"/>
  <c r="AV9" i="42" s="1"/>
  <c r="AS9" i="42"/>
  <c r="AU9" i="42" s="1"/>
  <c r="AT12" i="42"/>
  <c r="AV12" i="42" s="1"/>
  <c r="AS12" i="42"/>
  <c r="AU12" i="42" s="1"/>
  <c r="AT7" i="42"/>
  <c r="AV7" i="42" s="1"/>
  <c r="AS7" i="42"/>
  <c r="AU7" i="42" s="1"/>
  <c r="AV26" i="42"/>
  <c r="AH6" i="42"/>
  <c r="AJ6" i="42" s="1"/>
  <c r="AH12" i="42"/>
  <c r="AJ12" i="42" s="1"/>
  <c r="AG12" i="42"/>
  <c r="AI12" i="42" s="1"/>
  <c r="AJ26" i="42"/>
  <c r="AG7" i="42"/>
  <c r="AI7" i="42" s="1"/>
  <c r="AH7" i="42"/>
  <c r="AJ7" i="42" s="1"/>
  <c r="AH13" i="42"/>
  <c r="AJ13" i="42" s="1"/>
  <c r="AG13" i="42"/>
  <c r="AI13" i="42" s="1"/>
  <c r="AH9" i="42"/>
  <c r="AJ9" i="42" s="1"/>
  <c r="AG9" i="42"/>
  <c r="AI9" i="42" s="1"/>
  <c r="D72" i="87"/>
  <c r="D73" i="87"/>
  <c r="D74" i="87"/>
  <c r="D75" i="87"/>
  <c r="D76" i="87"/>
  <c r="D77" i="87"/>
  <c r="D71" i="87"/>
  <c r="H5" i="64"/>
  <c r="F75" i="87" l="1"/>
  <c r="G75" i="87"/>
  <c r="CB43" i="42" s="1"/>
  <c r="DD43" i="42" s="1"/>
  <c r="F71" i="87"/>
  <c r="U70" i="87" s="1"/>
  <c r="G71" i="87"/>
  <c r="F73" i="87"/>
  <c r="U72" i="87" s="1"/>
  <c r="G73" i="87"/>
  <c r="BD43" i="42" s="1"/>
  <c r="DB43" i="42" s="1"/>
  <c r="F74" i="87"/>
  <c r="U73" i="87" s="1"/>
  <c r="G74" i="87"/>
  <c r="BP43" i="42" s="1"/>
  <c r="DC43" i="42" s="1"/>
  <c r="G77" i="87"/>
  <c r="F77" i="87"/>
  <c r="U76" i="87" s="1"/>
  <c r="F76" i="87"/>
  <c r="G76" i="87"/>
  <c r="CN43" i="42" s="1"/>
  <c r="DE43" i="42" s="1"/>
  <c r="F72" i="87"/>
  <c r="U71" i="87" s="1"/>
  <c r="G72" i="87"/>
  <c r="AR43" i="42" s="1"/>
  <c r="DA43" i="42" s="1"/>
  <c r="CQ6" i="42"/>
  <c r="CE6" i="42"/>
  <c r="BS6" i="42"/>
  <c r="BG6" i="42"/>
  <c r="AU6" i="42"/>
  <c r="T43" i="42" l="1"/>
  <c r="CZ43" i="42" s="1"/>
  <c r="AF43" i="42"/>
  <c r="CY43" i="42" s="1"/>
  <c r="H43" i="42"/>
  <c r="CX43" i="42" s="1"/>
  <c r="R11" i="42"/>
  <c r="CP11" i="42" s="1"/>
  <c r="CR11" i="42" s="1"/>
  <c r="AG11" i="42"/>
  <c r="AI11" i="42" s="1"/>
  <c r="CC11" i="42"/>
  <c r="CE11" i="42" s="1"/>
  <c r="BF11" i="42"/>
  <c r="BH11" i="42" s="1"/>
  <c r="BE11" i="42"/>
  <c r="BG11" i="42" s="1"/>
  <c r="AT11" i="42"/>
  <c r="AV11" i="42" s="1"/>
  <c r="AS11" i="42"/>
  <c r="AU11" i="42" s="1"/>
  <c r="V11" i="42"/>
  <c r="X11" i="42" s="1"/>
  <c r="U11" i="42"/>
  <c r="I11" i="42"/>
  <c r="J11" i="42"/>
  <c r="L11" i="42" s="1"/>
  <c r="CD11" i="42" l="1"/>
  <c r="CF11" i="42" s="1"/>
  <c r="CO11" i="42"/>
  <c r="CQ11" i="42" s="1"/>
  <c r="BR11" i="42"/>
  <c r="BT11" i="42" s="1"/>
  <c r="BQ11" i="42"/>
  <c r="BS11" i="42" s="1"/>
  <c r="AH11" i="42"/>
  <c r="AJ11" i="42" s="1"/>
  <c r="K11" i="42"/>
  <c r="W11" i="42"/>
  <c r="H27" i="42"/>
  <c r="B143" i="83"/>
  <c r="J4" i="64" l="1"/>
  <c r="E17" i="8"/>
  <c r="E36" i="8" s="1"/>
  <c r="O16" i="25" s="1"/>
  <c r="CL13" i="42" s="1"/>
  <c r="E9" i="8"/>
  <c r="E28" i="8" s="1"/>
  <c r="O8" i="25" s="1"/>
  <c r="AP13" i="42" s="1"/>
  <c r="F9" i="8"/>
  <c r="F28" i="8" s="1"/>
  <c r="AP14" i="42" s="1"/>
  <c r="G9" i="8"/>
  <c r="G28" i="8" s="1"/>
  <c r="AP15" i="42" s="1"/>
  <c r="H9" i="8"/>
  <c r="I9" i="8"/>
  <c r="I28" i="8" s="1"/>
  <c r="AP17" i="42" s="1"/>
  <c r="J9" i="8"/>
  <c r="J28" i="8" s="1"/>
  <c r="AP19" i="42" s="1"/>
  <c r="K9" i="8"/>
  <c r="K28" i="8" s="1"/>
  <c r="AP20" i="42" s="1"/>
  <c r="L9" i="8"/>
  <c r="L28" i="8" s="1"/>
  <c r="AP21" i="42" s="1"/>
  <c r="M9" i="8"/>
  <c r="M28" i="8" s="1"/>
  <c r="AP22" i="42" s="1"/>
  <c r="N9" i="8"/>
  <c r="N28" i="8" s="1"/>
  <c r="AP23" i="42" s="1"/>
  <c r="E11" i="8"/>
  <c r="E30" i="8" s="1"/>
  <c r="O10" i="25" s="1"/>
  <c r="BB13" i="42" s="1"/>
  <c r="F11" i="8"/>
  <c r="F30" i="8" s="1"/>
  <c r="BB14" i="42" s="1"/>
  <c r="G11" i="8"/>
  <c r="G30" i="8" s="1"/>
  <c r="BB15" i="42" s="1"/>
  <c r="H11" i="8"/>
  <c r="H30" i="8" s="1"/>
  <c r="BB16" i="42" s="1"/>
  <c r="I11" i="8"/>
  <c r="I30" i="8" s="1"/>
  <c r="BB17" i="42" s="1"/>
  <c r="J11" i="8"/>
  <c r="J30" i="8" s="1"/>
  <c r="BB19" i="42" s="1"/>
  <c r="K11" i="8"/>
  <c r="K30" i="8" s="1"/>
  <c r="BB20" i="42" s="1"/>
  <c r="L11" i="8"/>
  <c r="L30" i="8" s="1"/>
  <c r="BB21" i="42" s="1"/>
  <c r="M11" i="8"/>
  <c r="M30" i="8" s="1"/>
  <c r="BB22" i="42" s="1"/>
  <c r="N11" i="8"/>
  <c r="N30" i="8" s="1"/>
  <c r="BB23" i="42" s="1"/>
  <c r="E13" i="8"/>
  <c r="E32" i="8" s="1"/>
  <c r="O12" i="25" s="1"/>
  <c r="BN13" i="42" s="1"/>
  <c r="F13" i="8"/>
  <c r="F32" i="8" s="1"/>
  <c r="BN14" i="42" s="1"/>
  <c r="G13" i="8"/>
  <c r="G32" i="8" s="1"/>
  <c r="BN15" i="42" s="1"/>
  <c r="H13" i="8"/>
  <c r="H32" i="8" s="1"/>
  <c r="BN16" i="42" s="1"/>
  <c r="I13" i="8"/>
  <c r="I32" i="8" s="1"/>
  <c r="BN17" i="42" s="1"/>
  <c r="J13" i="8"/>
  <c r="J32" i="8" s="1"/>
  <c r="BN19" i="42" s="1"/>
  <c r="K13" i="8"/>
  <c r="K32" i="8" s="1"/>
  <c r="BN20" i="42" s="1"/>
  <c r="L13" i="8"/>
  <c r="L32" i="8" s="1"/>
  <c r="BN21" i="42" s="1"/>
  <c r="M13" i="8"/>
  <c r="M32" i="8" s="1"/>
  <c r="BN22" i="42" s="1"/>
  <c r="N13" i="8"/>
  <c r="N32" i="8" s="1"/>
  <c r="BN23" i="42" s="1"/>
  <c r="E15" i="8"/>
  <c r="E34" i="8" s="1"/>
  <c r="O14" i="25" s="1"/>
  <c r="BZ13" i="42" s="1"/>
  <c r="F15" i="8"/>
  <c r="F34" i="8" s="1"/>
  <c r="BZ14" i="42" s="1"/>
  <c r="G15" i="8"/>
  <c r="G34" i="8" s="1"/>
  <c r="BZ15" i="42" s="1"/>
  <c r="H15" i="8"/>
  <c r="H34" i="8" s="1"/>
  <c r="BZ16" i="42" s="1"/>
  <c r="I15" i="8"/>
  <c r="I34" i="8" s="1"/>
  <c r="BZ17" i="42" s="1"/>
  <c r="J15" i="8"/>
  <c r="J34" i="8" s="1"/>
  <c r="BZ19" i="42" s="1"/>
  <c r="K15" i="8"/>
  <c r="K34" i="8" s="1"/>
  <c r="BZ20" i="42" s="1"/>
  <c r="L15" i="8"/>
  <c r="L34" i="8" s="1"/>
  <c r="BZ21" i="42" s="1"/>
  <c r="M15" i="8"/>
  <c r="M34" i="8" s="1"/>
  <c r="BZ22" i="42" s="1"/>
  <c r="N15" i="8"/>
  <c r="N34" i="8" s="1"/>
  <c r="BZ23" i="42" s="1"/>
  <c r="F17" i="8"/>
  <c r="F36" i="8" s="1"/>
  <c r="CL14" i="42" s="1"/>
  <c r="G17" i="8"/>
  <c r="G36" i="8" s="1"/>
  <c r="CL15" i="42" s="1"/>
  <c r="H17" i="8"/>
  <c r="H36" i="8" s="1"/>
  <c r="CL16" i="42" s="1"/>
  <c r="I17" i="8"/>
  <c r="I36" i="8" s="1"/>
  <c r="CL17" i="42" s="1"/>
  <c r="J17" i="8"/>
  <c r="J36" i="8" s="1"/>
  <c r="CL19" i="42" s="1"/>
  <c r="K17" i="8"/>
  <c r="K36" i="8" s="1"/>
  <c r="CL20" i="42" s="1"/>
  <c r="L17" i="8"/>
  <c r="L36" i="8" s="1"/>
  <c r="CL21" i="42" s="1"/>
  <c r="M17" i="8"/>
  <c r="M36" i="8" s="1"/>
  <c r="CL22" i="42" s="1"/>
  <c r="N17" i="8"/>
  <c r="N36" i="8" s="1"/>
  <c r="CL23" i="42" s="1"/>
  <c r="E19" i="8"/>
  <c r="E38" i="8" s="1"/>
  <c r="O18" i="25" s="1"/>
  <c r="F19" i="8"/>
  <c r="F38" i="8" s="1"/>
  <c r="G19" i="8"/>
  <c r="G38" i="8" s="1"/>
  <c r="H19" i="8"/>
  <c r="H38" i="8" s="1"/>
  <c r="I19" i="8"/>
  <c r="I38" i="8" s="1"/>
  <c r="J19" i="8"/>
  <c r="J38" i="8" s="1"/>
  <c r="K19" i="8"/>
  <c r="K38" i="8" s="1"/>
  <c r="L19" i="8"/>
  <c r="L38" i="8" s="1"/>
  <c r="M19" i="8"/>
  <c r="M38" i="8" s="1"/>
  <c r="N19" i="8"/>
  <c r="N38" i="8" s="1"/>
  <c r="F7" i="8"/>
  <c r="F26" i="8" s="1"/>
  <c r="AD14" i="42" s="1"/>
  <c r="G7" i="8"/>
  <c r="G26" i="8" s="1"/>
  <c r="AD15" i="42" s="1"/>
  <c r="H7" i="8"/>
  <c r="H26" i="8" s="1"/>
  <c r="AD16" i="42" s="1"/>
  <c r="I7" i="8"/>
  <c r="I26" i="8" s="1"/>
  <c r="AD17" i="42" s="1"/>
  <c r="J7" i="8"/>
  <c r="J26" i="8" s="1"/>
  <c r="AD19" i="42" s="1"/>
  <c r="K7" i="8"/>
  <c r="K26" i="8" s="1"/>
  <c r="AD20" i="42" s="1"/>
  <c r="L7" i="8"/>
  <c r="L26" i="8" s="1"/>
  <c r="AD21" i="42" s="1"/>
  <c r="M7" i="8"/>
  <c r="M26" i="8" s="1"/>
  <c r="AD22" i="42" s="1"/>
  <c r="N7" i="8"/>
  <c r="N26" i="8" s="1"/>
  <c r="AD23" i="42" s="1"/>
  <c r="BQ13" i="42" l="1"/>
  <c r="BS13" i="42" s="1"/>
  <c r="BR13" i="42"/>
  <c r="BT13" i="42" s="1"/>
  <c r="AT13" i="42"/>
  <c r="AV13" i="42" s="1"/>
  <c r="AS13" i="42"/>
  <c r="AU13" i="42" s="1"/>
  <c r="F16" i="42"/>
  <c r="J16" i="42" s="1"/>
  <c r="L16" i="42" s="1"/>
  <c r="H28" i="8"/>
  <c r="AP16" i="42" s="1"/>
  <c r="CP13" i="42"/>
  <c r="CR13" i="42" s="1"/>
  <c r="CO13" i="42"/>
  <c r="CQ13" i="42" s="1"/>
  <c r="CC13" i="42"/>
  <c r="CE13" i="42" s="1"/>
  <c r="CD13" i="42"/>
  <c r="CF13" i="42" s="1"/>
  <c r="BE13" i="42"/>
  <c r="BG13" i="42" s="1"/>
  <c r="BF13" i="42"/>
  <c r="BH13" i="42" s="1"/>
  <c r="F19" i="42"/>
  <c r="R19" i="42" s="1"/>
  <c r="F21" i="42"/>
  <c r="R21" i="42" s="1"/>
  <c r="F20" i="42"/>
  <c r="R20" i="42"/>
  <c r="F15" i="42"/>
  <c r="R15" i="42" s="1"/>
  <c r="F23" i="42"/>
  <c r="F14" i="42"/>
  <c r="R14" i="42" s="1"/>
  <c r="I16" i="42"/>
  <c r="K16" i="42" s="1"/>
  <c r="F22" i="42"/>
  <c r="R22" i="42" s="1"/>
  <c r="F17" i="42"/>
  <c r="F19" i="84"/>
  <c r="F18" i="84"/>
  <c r="E17" i="84"/>
  <c r="F17" i="84" s="1"/>
  <c r="F16" i="84"/>
  <c r="E15" i="84"/>
  <c r="F15" i="84" s="1"/>
  <c r="F14" i="84"/>
  <c r="E13" i="84"/>
  <c r="F13" i="84" s="1"/>
  <c r="F12" i="84"/>
  <c r="E11" i="84"/>
  <c r="F11" i="84" s="1"/>
  <c r="F10" i="84"/>
  <c r="E9" i="84"/>
  <c r="F9" i="84" s="1"/>
  <c r="F8" i="84"/>
  <c r="E7" i="84"/>
  <c r="F7" i="84" s="1"/>
  <c r="F6" i="84"/>
  <c r="R16" i="42" l="1"/>
  <c r="V15" i="42"/>
  <c r="X15" i="42" s="1"/>
  <c r="U15" i="42"/>
  <c r="W15" i="42" s="1"/>
  <c r="I17" i="42"/>
  <c r="K17" i="42" s="1"/>
  <c r="J17" i="42"/>
  <c r="L17" i="42" s="1"/>
  <c r="U22" i="42"/>
  <c r="W22" i="42" s="1"/>
  <c r="V22" i="42"/>
  <c r="X22" i="42" s="1"/>
  <c r="U14" i="42"/>
  <c r="W14" i="42" s="1"/>
  <c r="V14" i="42"/>
  <c r="X14" i="42" s="1"/>
  <c r="I23" i="42"/>
  <c r="K23" i="42" s="1"/>
  <c r="J23" i="42"/>
  <c r="L23" i="42" s="1"/>
  <c r="U20" i="42"/>
  <c r="W20" i="42" s="1"/>
  <c r="V20" i="42"/>
  <c r="X20" i="42" s="1"/>
  <c r="V21" i="42"/>
  <c r="X21" i="42" s="1"/>
  <c r="U21" i="42"/>
  <c r="W21" i="42" s="1"/>
  <c r="R17" i="42"/>
  <c r="I22" i="42"/>
  <c r="K22" i="42" s="1"/>
  <c r="J22" i="42"/>
  <c r="L22" i="42" s="1"/>
  <c r="J14" i="42"/>
  <c r="L14" i="42" s="1"/>
  <c r="I14" i="42"/>
  <c r="K14" i="42" s="1"/>
  <c r="I20" i="42"/>
  <c r="K20" i="42" s="1"/>
  <c r="J20" i="42"/>
  <c r="L20" i="42" s="1"/>
  <c r="I21" i="42"/>
  <c r="K21" i="42" s="1"/>
  <c r="J21" i="42"/>
  <c r="L21" i="42" s="1"/>
  <c r="AG14" i="42"/>
  <c r="AI14" i="42" s="1"/>
  <c r="AH14" i="42"/>
  <c r="AJ14" i="42" s="1"/>
  <c r="I15" i="42"/>
  <c r="K15" i="42" s="1"/>
  <c r="J15" i="42"/>
  <c r="L15" i="42" s="1"/>
  <c r="V16" i="42"/>
  <c r="X16" i="42" s="1"/>
  <c r="U16" i="42"/>
  <c r="W16" i="42" s="1"/>
  <c r="V19" i="42"/>
  <c r="X19" i="42" s="1"/>
  <c r="U19" i="42"/>
  <c r="W19" i="42" s="1"/>
  <c r="AG17" i="42"/>
  <c r="AI17" i="42" s="1"/>
  <c r="AH17" i="42"/>
  <c r="AJ17" i="42" s="1"/>
  <c r="R23" i="42"/>
  <c r="AH15" i="42"/>
  <c r="AJ15" i="42" s="1"/>
  <c r="AG15" i="42"/>
  <c r="AI15" i="42" s="1"/>
  <c r="AH16" i="42"/>
  <c r="AJ16" i="42" s="1"/>
  <c r="AG16" i="42"/>
  <c r="AI16" i="42" s="1"/>
  <c r="J19" i="42"/>
  <c r="L19" i="42" s="1"/>
  <c r="I19" i="42"/>
  <c r="K19" i="42" s="1"/>
  <c r="O20" i="8"/>
  <c r="K9" i="5"/>
  <c r="H6" i="64"/>
  <c r="H7" i="64"/>
  <c r="H8" i="64"/>
  <c r="H9" i="64"/>
  <c r="H10" i="64"/>
  <c r="H11" i="64"/>
  <c r="H12" i="64"/>
  <c r="H13" i="64"/>
  <c r="H14" i="64"/>
  <c r="H15" i="64"/>
  <c r="H16" i="64"/>
  <c r="H17" i="64"/>
  <c r="H4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4" i="64"/>
  <c r="E6" i="64"/>
  <c r="E7" i="64"/>
  <c r="E8" i="64"/>
  <c r="E9" i="64"/>
  <c r="E10" i="64"/>
  <c r="E11" i="64"/>
  <c r="E12" i="64"/>
  <c r="E13" i="64"/>
  <c r="E14" i="64"/>
  <c r="E15" i="64"/>
  <c r="E16" i="64"/>
  <c r="E17" i="64"/>
  <c r="E4" i="64"/>
  <c r="E5" i="64"/>
  <c r="G5" i="64"/>
  <c r="I5" i="64" s="1"/>
  <c r="AS16" i="42" l="1"/>
  <c r="AU16" i="42" s="1"/>
  <c r="AT16" i="42"/>
  <c r="AV16" i="42" s="1"/>
  <c r="U23" i="42"/>
  <c r="W23" i="42" s="1"/>
  <c r="V23" i="42"/>
  <c r="X23" i="42" s="1"/>
  <c r="AS14" i="42"/>
  <c r="AU14" i="42" s="1"/>
  <c r="AT14" i="42"/>
  <c r="AV14" i="42" s="1"/>
  <c r="U17" i="42"/>
  <c r="W17" i="42" s="1"/>
  <c r="V17" i="42"/>
  <c r="X17" i="42" s="1"/>
  <c r="AG19" i="42"/>
  <c r="AI19" i="42" s="1"/>
  <c r="AH19" i="42"/>
  <c r="AJ19" i="42" s="1"/>
  <c r="AG20" i="42"/>
  <c r="AI20" i="42" s="1"/>
  <c r="AH20" i="42"/>
  <c r="AJ20" i="42" s="1"/>
  <c r="AT15" i="42"/>
  <c r="AV15" i="42" s="1"/>
  <c r="AS15" i="42"/>
  <c r="AU15" i="42" s="1"/>
  <c r="AT17" i="42"/>
  <c r="AV17" i="42" s="1"/>
  <c r="AS17" i="42"/>
  <c r="AU17" i="42" s="1"/>
  <c r="AG21" i="42"/>
  <c r="AI21" i="42" s="1"/>
  <c r="AH21" i="42"/>
  <c r="AJ21" i="42" s="1"/>
  <c r="AH22" i="42"/>
  <c r="AJ22" i="42" s="1"/>
  <c r="AG22" i="42"/>
  <c r="AI22" i="42" s="1"/>
  <c r="AH23" i="42"/>
  <c r="AJ23" i="42" s="1"/>
  <c r="AG23" i="42"/>
  <c r="AI23" i="42" s="1"/>
  <c r="I15" i="64"/>
  <c r="I4" i="64"/>
  <c r="I14" i="64"/>
  <c r="I10" i="64"/>
  <c r="I6" i="64"/>
  <c r="I17" i="64"/>
  <c r="I13" i="64"/>
  <c r="I9" i="64"/>
  <c r="I16" i="64"/>
  <c r="I12" i="64"/>
  <c r="I8" i="64"/>
  <c r="I11" i="64"/>
  <c r="I7" i="64"/>
  <c r="BE17" i="42" l="1"/>
  <c r="BG17" i="42" s="1"/>
  <c r="BF17" i="42"/>
  <c r="BH17" i="42" s="1"/>
  <c r="AS21" i="42"/>
  <c r="AU21" i="42" s="1"/>
  <c r="AT21" i="42"/>
  <c r="AV21" i="42" s="1"/>
  <c r="AS19" i="42"/>
  <c r="AU19" i="42" s="1"/>
  <c r="AT19" i="42"/>
  <c r="AV19" i="42" s="1"/>
  <c r="AT22" i="42"/>
  <c r="AV22" i="42" s="1"/>
  <c r="AS22" i="42"/>
  <c r="AU22" i="42" s="1"/>
  <c r="AT20" i="42"/>
  <c r="AV20" i="42" s="1"/>
  <c r="AS20" i="42"/>
  <c r="AU20" i="42" s="1"/>
  <c r="BF14" i="42"/>
  <c r="BH14" i="42" s="1"/>
  <c r="BE14" i="42"/>
  <c r="BG14" i="42" s="1"/>
  <c r="AS23" i="42"/>
  <c r="AU23" i="42" s="1"/>
  <c r="AT23" i="42"/>
  <c r="AV23" i="42" s="1"/>
  <c r="BF15" i="42"/>
  <c r="BH15" i="42" s="1"/>
  <c r="BE15" i="42"/>
  <c r="BG15" i="42" s="1"/>
  <c r="BF16" i="42"/>
  <c r="BH16" i="42" s="1"/>
  <c r="BE16" i="42"/>
  <c r="BG16" i="42" s="1"/>
  <c r="G167" i="83"/>
  <c r="G162" i="83"/>
  <c r="G159" i="83"/>
  <c r="G161" i="83"/>
  <c r="G163" i="83"/>
  <c r="G164" i="83"/>
  <c r="G165" i="83"/>
  <c r="G168" i="83"/>
  <c r="F186" i="83" s="1"/>
  <c r="G169" i="83"/>
  <c r="F185" i="83" s="1"/>
  <c r="G155" i="83"/>
  <c r="E185" i="83" s="1"/>
  <c r="G156" i="83"/>
  <c r="E187" i="83" s="1"/>
  <c r="G157" i="83"/>
  <c r="E188" i="83" s="1"/>
  <c r="G158" i="83"/>
  <c r="G154" i="83"/>
  <c r="G119" i="83"/>
  <c r="K76" i="83"/>
  <c r="K80" i="83"/>
  <c r="H80" i="83"/>
  <c r="H76" i="83"/>
  <c r="F80" i="83"/>
  <c r="G80" i="83"/>
  <c r="J80" i="83"/>
  <c r="M80" i="83"/>
  <c r="BQ14" i="42" l="1"/>
  <c r="BS14" i="42" s="1"/>
  <c r="BR14" i="42"/>
  <c r="BT14" i="42" s="1"/>
  <c r="BE21" i="42"/>
  <c r="BG21" i="42" s="1"/>
  <c r="BF21" i="42"/>
  <c r="BH21" i="42" s="1"/>
  <c r="BF23" i="42"/>
  <c r="BH23" i="42" s="1"/>
  <c r="BE23" i="42"/>
  <c r="BG23" i="42" s="1"/>
  <c r="BF19" i="42"/>
  <c r="BH19" i="42" s="1"/>
  <c r="BE19" i="42"/>
  <c r="BG19" i="42" s="1"/>
  <c r="BQ15" i="42"/>
  <c r="BS15" i="42" s="1"/>
  <c r="BR15" i="42"/>
  <c r="BT15" i="42" s="1"/>
  <c r="BE22" i="42"/>
  <c r="BG22" i="42" s="1"/>
  <c r="BF22" i="42"/>
  <c r="BH22" i="42" s="1"/>
  <c r="BR16" i="42"/>
  <c r="BT16" i="42" s="1"/>
  <c r="BQ16" i="42"/>
  <c r="BS16" i="42" s="1"/>
  <c r="BF20" i="42"/>
  <c r="BH20" i="42" s="1"/>
  <c r="BE20" i="42"/>
  <c r="BG20" i="42" s="1"/>
  <c r="BQ17" i="42"/>
  <c r="BS17" i="42" s="1"/>
  <c r="BR17" i="42"/>
  <c r="BT17" i="42" s="1"/>
  <c r="E178" i="83"/>
  <c r="F181" i="83"/>
  <c r="E181" i="83"/>
  <c r="F24" i="42"/>
  <c r="F33" i="42"/>
  <c r="F32" i="42"/>
  <c r="F30" i="42"/>
  <c r="E186" i="83"/>
  <c r="I93" i="83"/>
  <c r="I92" i="83"/>
  <c r="I91" i="83"/>
  <c r="G108" i="83"/>
  <c r="G110" i="83"/>
  <c r="G109" i="83"/>
  <c r="G111" i="83"/>
  <c r="G112" i="83"/>
  <c r="G113" i="83"/>
  <c r="G114" i="83"/>
  <c r="G115" i="83"/>
  <c r="G116" i="83"/>
  <c r="G118" i="83"/>
  <c r="G121" i="83"/>
  <c r="G120" i="83"/>
  <c r="G122" i="83"/>
  <c r="G124" i="83"/>
  <c r="G125" i="83"/>
  <c r="G126" i="83"/>
  <c r="E133" i="83" s="1"/>
  <c r="F195" i="83" s="1"/>
  <c r="G127" i="83"/>
  <c r="E134" i="83" s="1"/>
  <c r="F134" i="83" s="1"/>
  <c r="G128" i="83"/>
  <c r="E135" i="83" s="1"/>
  <c r="F135" i="83" s="1"/>
  <c r="G104" i="83"/>
  <c r="F106" i="83"/>
  <c r="G106" i="83" s="1"/>
  <c r="F105" i="83"/>
  <c r="G105" i="83" s="1"/>
  <c r="M88" i="83"/>
  <c r="M92" i="83" s="1"/>
  <c r="M96" i="83" s="1"/>
  <c r="M89" i="83"/>
  <c r="M93" i="83" s="1"/>
  <c r="M97" i="83" s="1"/>
  <c r="M82" i="83"/>
  <c r="M81" i="83"/>
  <c r="M83" i="83"/>
  <c r="M85" i="83"/>
  <c r="M86" i="83"/>
  <c r="M87" i="83"/>
  <c r="M67" i="83"/>
  <c r="M68" i="83"/>
  <c r="M70" i="83"/>
  <c r="M72" i="83"/>
  <c r="M71" i="83"/>
  <c r="M73" i="83"/>
  <c r="M74" i="83"/>
  <c r="M75" i="83"/>
  <c r="M76" i="83"/>
  <c r="M77" i="83"/>
  <c r="M79" i="83"/>
  <c r="K81" i="83"/>
  <c r="K83" i="83"/>
  <c r="K85" i="83"/>
  <c r="K86" i="83"/>
  <c r="K87" i="83"/>
  <c r="K88" i="83"/>
  <c r="K92" i="83" s="1"/>
  <c r="K96" i="83" s="1"/>
  <c r="K89" i="83"/>
  <c r="K93" i="83" s="1"/>
  <c r="K97" i="83" s="1"/>
  <c r="K67" i="83"/>
  <c r="K68" i="83"/>
  <c r="K70" i="83"/>
  <c r="K72" i="83"/>
  <c r="K71" i="83"/>
  <c r="K73" i="83"/>
  <c r="K74" i="83"/>
  <c r="K75" i="83"/>
  <c r="K77" i="83"/>
  <c r="K79" i="83"/>
  <c r="K82" i="83"/>
  <c r="J81" i="83"/>
  <c r="J83" i="83"/>
  <c r="J85" i="83"/>
  <c r="J86" i="83"/>
  <c r="J87" i="83"/>
  <c r="J88" i="83"/>
  <c r="J92" i="83" s="1"/>
  <c r="J96" i="83" s="1"/>
  <c r="J89" i="83"/>
  <c r="J93" i="83" s="1"/>
  <c r="J97" i="83" s="1"/>
  <c r="J74" i="83"/>
  <c r="J75" i="83"/>
  <c r="J76" i="83"/>
  <c r="J77" i="83"/>
  <c r="J79" i="83"/>
  <c r="J82" i="83"/>
  <c r="J67" i="83"/>
  <c r="J68" i="83"/>
  <c r="J70" i="83"/>
  <c r="J72" i="83"/>
  <c r="J71" i="83"/>
  <c r="J73" i="83"/>
  <c r="H77" i="83"/>
  <c r="H79" i="83"/>
  <c r="H82" i="83"/>
  <c r="H81" i="83"/>
  <c r="H83" i="83"/>
  <c r="H85" i="83"/>
  <c r="H86" i="83"/>
  <c r="H87" i="83"/>
  <c r="H88" i="83"/>
  <c r="H92" i="83" s="1"/>
  <c r="H96" i="83" s="1"/>
  <c r="H89" i="83"/>
  <c r="H93" i="83" s="1"/>
  <c r="H97" i="83" s="1"/>
  <c r="H67" i="83"/>
  <c r="H68" i="83"/>
  <c r="H70" i="83"/>
  <c r="H72" i="83"/>
  <c r="H71" i="83"/>
  <c r="H73" i="83"/>
  <c r="H74" i="83"/>
  <c r="H75" i="83"/>
  <c r="G67" i="83"/>
  <c r="G68" i="83"/>
  <c r="G70" i="83"/>
  <c r="G72" i="83"/>
  <c r="G71" i="83"/>
  <c r="G73" i="83"/>
  <c r="G74" i="83"/>
  <c r="G75" i="83"/>
  <c r="G76" i="83"/>
  <c r="G77" i="83"/>
  <c r="G79" i="83"/>
  <c r="G82" i="83"/>
  <c r="G81" i="83"/>
  <c r="G83" i="83"/>
  <c r="G85" i="83"/>
  <c r="G86" i="83"/>
  <c r="G87" i="83"/>
  <c r="G88" i="83"/>
  <c r="G92" i="83" s="1"/>
  <c r="G96" i="83" s="1"/>
  <c r="G89" i="83"/>
  <c r="G93" i="83" s="1"/>
  <c r="G97" i="83" s="1"/>
  <c r="M66" i="83"/>
  <c r="J66" i="83"/>
  <c r="K66" i="83"/>
  <c r="H66" i="83"/>
  <c r="G66" i="83"/>
  <c r="F68" i="83"/>
  <c r="F70" i="83"/>
  <c r="F72" i="83"/>
  <c r="F71" i="83"/>
  <c r="F73" i="83"/>
  <c r="F74" i="83"/>
  <c r="F75" i="83"/>
  <c r="F76" i="83"/>
  <c r="F77" i="83"/>
  <c r="F79" i="83"/>
  <c r="F82" i="83"/>
  <c r="F81" i="83"/>
  <c r="F83" i="83"/>
  <c r="F85" i="83"/>
  <c r="F86" i="83"/>
  <c r="F87" i="83"/>
  <c r="F88" i="83"/>
  <c r="F92" i="83" s="1"/>
  <c r="F96" i="83" s="1"/>
  <c r="F89" i="83"/>
  <c r="F93" i="83" s="1"/>
  <c r="F97" i="83" s="1"/>
  <c r="F67" i="83"/>
  <c r="F66" i="83"/>
  <c r="F56" i="83"/>
  <c r="F57" i="83" s="1"/>
  <c r="R32" i="42" l="1"/>
  <c r="AD32" i="42"/>
  <c r="R33" i="42"/>
  <c r="AD33" i="42"/>
  <c r="AD24" i="42"/>
  <c r="R24" i="42"/>
  <c r="U24" i="42" s="1"/>
  <c r="W24" i="42" s="1"/>
  <c r="R30" i="42"/>
  <c r="V30" i="42" s="1"/>
  <c r="X30" i="42" s="1"/>
  <c r="AD30" i="42"/>
  <c r="BR22" i="42"/>
  <c r="BT22" i="42" s="1"/>
  <c r="BQ22" i="42"/>
  <c r="BS22" i="42" s="1"/>
  <c r="BR21" i="42"/>
  <c r="BT21" i="42" s="1"/>
  <c r="BQ21" i="42"/>
  <c r="BS21" i="42" s="1"/>
  <c r="CC16" i="42"/>
  <c r="CE16" i="42" s="1"/>
  <c r="CD16" i="42"/>
  <c r="CF16" i="42" s="1"/>
  <c r="BQ23" i="42"/>
  <c r="BS23" i="42" s="1"/>
  <c r="BR23" i="42"/>
  <c r="BT23" i="42" s="1"/>
  <c r="BQ20" i="42"/>
  <c r="BS20" i="42" s="1"/>
  <c r="BR20" i="42"/>
  <c r="BT20" i="42" s="1"/>
  <c r="BR19" i="42"/>
  <c r="BT19" i="42" s="1"/>
  <c r="BQ19" i="42"/>
  <c r="BS19" i="42" s="1"/>
  <c r="CD17" i="42"/>
  <c r="CF17" i="42" s="1"/>
  <c r="CC17" i="42"/>
  <c r="CE17" i="42" s="1"/>
  <c r="CD15" i="42"/>
  <c r="CF15" i="42" s="1"/>
  <c r="CC15" i="42"/>
  <c r="CE15" i="42" s="1"/>
  <c r="CD14" i="42"/>
  <c r="CF14" i="42" s="1"/>
  <c r="CC14" i="42"/>
  <c r="CE14" i="42" s="1"/>
  <c r="CP30" i="42"/>
  <c r="CR30" i="42" s="1"/>
  <c r="CO30" i="42"/>
  <c r="CQ30" i="42" s="1"/>
  <c r="CD30" i="42"/>
  <c r="CF30" i="42" s="1"/>
  <c r="CC30" i="42"/>
  <c r="CE30" i="42" s="1"/>
  <c r="BR30" i="42"/>
  <c r="BT30" i="42" s="1"/>
  <c r="BQ30" i="42"/>
  <c r="BS30" i="42" s="1"/>
  <c r="BF30" i="42"/>
  <c r="BH30" i="42" s="1"/>
  <c r="BE30" i="42"/>
  <c r="BG30" i="42" s="1"/>
  <c r="AT30" i="42"/>
  <c r="AV30" i="42" s="1"/>
  <c r="AS30" i="42"/>
  <c r="AU30" i="42" s="1"/>
  <c r="U32" i="42"/>
  <c r="W32" i="42" s="1"/>
  <c r="V32" i="42"/>
  <c r="X32" i="42" s="1"/>
  <c r="U33" i="42"/>
  <c r="W33" i="42" s="1"/>
  <c r="V33" i="42"/>
  <c r="X33" i="42" s="1"/>
  <c r="U30" i="42"/>
  <c r="W30" i="42" s="1"/>
  <c r="I33" i="42"/>
  <c r="K33" i="42" s="1"/>
  <c r="J33" i="42"/>
  <c r="L33" i="42" s="1"/>
  <c r="F27" i="42"/>
  <c r="F31" i="42"/>
  <c r="J32" i="42"/>
  <c r="L32" i="42" s="1"/>
  <c r="I32" i="42"/>
  <c r="K32" i="42" s="1"/>
  <c r="I30" i="42"/>
  <c r="K30" i="42" s="1"/>
  <c r="J30" i="42"/>
  <c r="L30" i="42" s="1"/>
  <c r="J24" i="42"/>
  <c r="L24" i="42" s="1"/>
  <c r="I24" i="42"/>
  <c r="F133" i="83"/>
  <c r="E130" i="83"/>
  <c r="E194" i="83" s="1"/>
  <c r="H90" i="83"/>
  <c r="H94" i="83" s="1"/>
  <c r="G91" i="83"/>
  <c r="E131" i="83"/>
  <c r="F194" i="83" s="1"/>
  <c r="E132" i="83"/>
  <c r="E195" i="83" s="1"/>
  <c r="J90" i="83"/>
  <c r="J91" i="83"/>
  <c r="F91" i="83"/>
  <c r="M91" i="83"/>
  <c r="M90" i="83"/>
  <c r="F90" i="83"/>
  <c r="E190" i="83" s="1"/>
  <c r="G90" i="83"/>
  <c r="H91" i="83"/>
  <c r="K90" i="83"/>
  <c r="K91" i="83"/>
  <c r="E17" i="83"/>
  <c r="E184" i="83" s="1"/>
  <c r="E6" i="83"/>
  <c r="F58" i="83" s="1"/>
  <c r="E189" i="83"/>
  <c r="V24" i="42" l="1"/>
  <c r="X24" i="42" s="1"/>
  <c r="R31" i="42"/>
  <c r="U31" i="42" s="1"/>
  <c r="W31" i="42" s="1"/>
  <c r="AD31" i="42"/>
  <c r="AG30" i="42"/>
  <c r="AI30" i="42" s="1"/>
  <c r="AH30" i="42"/>
  <c r="AJ30" i="42" s="1"/>
  <c r="AG33" i="42"/>
  <c r="AI33" i="42" s="1"/>
  <c r="AH33" i="42"/>
  <c r="AJ33" i="42" s="1"/>
  <c r="R27" i="42"/>
  <c r="U27" i="42" s="1"/>
  <c r="W27" i="42" s="1"/>
  <c r="AD27" i="42"/>
  <c r="AG27" i="42" s="1"/>
  <c r="AI27" i="42" s="1"/>
  <c r="AH32" i="42"/>
  <c r="AJ32" i="42" s="1"/>
  <c r="AG32" i="42"/>
  <c r="AI32" i="42" s="1"/>
  <c r="CC19" i="42"/>
  <c r="CE19" i="42" s="1"/>
  <c r="CD19" i="42"/>
  <c r="CF19" i="42" s="1"/>
  <c r="CD21" i="42"/>
  <c r="CF21" i="42" s="1"/>
  <c r="CC21" i="42"/>
  <c r="CE21" i="42" s="1"/>
  <c r="CO17" i="42"/>
  <c r="CQ17" i="42" s="1"/>
  <c r="CP17" i="42"/>
  <c r="CR17" i="42" s="1"/>
  <c r="CO16" i="42"/>
  <c r="CQ16" i="42" s="1"/>
  <c r="CP16" i="42"/>
  <c r="CR16" i="42" s="1"/>
  <c r="CP15" i="42"/>
  <c r="CR15" i="42" s="1"/>
  <c r="CO15" i="42"/>
  <c r="CQ15" i="42" s="1"/>
  <c r="CD23" i="42"/>
  <c r="CF23" i="42" s="1"/>
  <c r="CC23" i="42"/>
  <c r="CE23" i="42" s="1"/>
  <c r="CO14" i="42"/>
  <c r="CQ14" i="42" s="1"/>
  <c r="CP14" i="42"/>
  <c r="CR14" i="42" s="1"/>
  <c r="CD20" i="42"/>
  <c r="CF20" i="42" s="1"/>
  <c r="CC20" i="42"/>
  <c r="CE20" i="42" s="1"/>
  <c r="CC22" i="42"/>
  <c r="CE22" i="42" s="1"/>
  <c r="CD22" i="42"/>
  <c r="CF22" i="42" s="1"/>
  <c r="CP24" i="42"/>
  <c r="CR24" i="42" s="1"/>
  <c r="CO24" i="42"/>
  <c r="CQ24" i="42" s="1"/>
  <c r="CO31" i="42"/>
  <c r="CQ31" i="42" s="1"/>
  <c r="CP31" i="42"/>
  <c r="CR31" i="42" s="1"/>
  <c r="CO32" i="42"/>
  <c r="CQ32" i="42" s="1"/>
  <c r="CP32" i="42"/>
  <c r="CR32" i="42" s="1"/>
  <c r="CO27" i="42"/>
  <c r="CQ27" i="42" s="1"/>
  <c r="CP27" i="42"/>
  <c r="CO33" i="42"/>
  <c r="CQ33" i="42" s="1"/>
  <c r="CP33" i="42"/>
  <c r="CR33" i="42" s="1"/>
  <c r="CC31" i="42"/>
  <c r="CE31" i="42" s="1"/>
  <c r="CD31" i="42"/>
  <c r="CF31" i="42" s="1"/>
  <c r="CC27" i="42"/>
  <c r="CE27" i="42" s="1"/>
  <c r="CD27" i="42"/>
  <c r="CC33" i="42"/>
  <c r="CE33" i="42" s="1"/>
  <c r="CD33" i="42"/>
  <c r="CF33" i="42" s="1"/>
  <c r="CD32" i="42"/>
  <c r="CF32" i="42" s="1"/>
  <c r="CC32" i="42"/>
  <c r="CE32" i="42" s="1"/>
  <c r="CC24" i="42"/>
  <c r="CE24" i="42" s="1"/>
  <c r="CD24" i="42"/>
  <c r="CF24" i="42" s="1"/>
  <c r="BQ24" i="42"/>
  <c r="BS24" i="42" s="1"/>
  <c r="BR24" i="42"/>
  <c r="BT24" i="42" s="1"/>
  <c r="BQ31" i="42"/>
  <c r="BS31" i="42" s="1"/>
  <c r="BR31" i="42"/>
  <c r="BT31" i="42" s="1"/>
  <c r="BQ32" i="42"/>
  <c r="BS32" i="42" s="1"/>
  <c r="BR32" i="42"/>
  <c r="BT32" i="42" s="1"/>
  <c r="BQ27" i="42"/>
  <c r="BS27" i="42" s="1"/>
  <c r="BR27" i="42"/>
  <c r="BR33" i="42"/>
  <c r="BT33" i="42" s="1"/>
  <c r="BQ33" i="42"/>
  <c r="BS33" i="42" s="1"/>
  <c r="BE27" i="42"/>
  <c r="BG27" i="42" s="1"/>
  <c r="BF27" i="42"/>
  <c r="BE31" i="42"/>
  <c r="BG31" i="42" s="1"/>
  <c r="BF31" i="42"/>
  <c r="BH31" i="42" s="1"/>
  <c r="BF32" i="42"/>
  <c r="BH32" i="42" s="1"/>
  <c r="BE32" i="42"/>
  <c r="BG32" i="42" s="1"/>
  <c r="BF33" i="42"/>
  <c r="BH33" i="42" s="1"/>
  <c r="BE33" i="42"/>
  <c r="BG33" i="42" s="1"/>
  <c r="BE24" i="42"/>
  <c r="BG24" i="42" s="1"/>
  <c r="BF24" i="42"/>
  <c r="BH24" i="42" s="1"/>
  <c r="AS31" i="42"/>
  <c r="AU31" i="42" s="1"/>
  <c r="AT31" i="42"/>
  <c r="AV31" i="42" s="1"/>
  <c r="AT24" i="42"/>
  <c r="AV24" i="42" s="1"/>
  <c r="AS24" i="42"/>
  <c r="AU24" i="42" s="1"/>
  <c r="AS27" i="42"/>
  <c r="AU27" i="42" s="1"/>
  <c r="AT27" i="42"/>
  <c r="AT32" i="42"/>
  <c r="AV32" i="42" s="1"/>
  <c r="AS32" i="42"/>
  <c r="AU32" i="42" s="1"/>
  <c r="AS33" i="42"/>
  <c r="AU33" i="42" s="1"/>
  <c r="AT33" i="42"/>
  <c r="AV33" i="42" s="1"/>
  <c r="AH24" i="42"/>
  <c r="AJ24" i="42" s="1"/>
  <c r="AG24" i="42"/>
  <c r="AI24" i="42" s="1"/>
  <c r="F34" i="42"/>
  <c r="K24" i="42"/>
  <c r="F29" i="42"/>
  <c r="R29" i="42" s="1"/>
  <c r="AD29" i="42" s="1"/>
  <c r="J27" i="42"/>
  <c r="H46" i="42" s="1"/>
  <c r="CX46" i="42" s="1"/>
  <c r="I27" i="42"/>
  <c r="K27" i="42" s="1"/>
  <c r="J31" i="42"/>
  <c r="L31" i="42" s="1"/>
  <c r="I31" i="42"/>
  <c r="K31" i="42" s="1"/>
  <c r="F132" i="83"/>
  <c r="F130" i="83"/>
  <c r="F131" i="83"/>
  <c r="G94" i="83"/>
  <c r="M95" i="83"/>
  <c r="K95" i="83"/>
  <c r="F94" i="83"/>
  <c r="E191" i="83" s="1"/>
  <c r="F35" i="42"/>
  <c r="F190" i="83"/>
  <c r="F95" i="83"/>
  <c r="F191" i="83" s="1"/>
  <c r="K94" i="83"/>
  <c r="M94" i="83"/>
  <c r="J95" i="83"/>
  <c r="G95" i="83"/>
  <c r="H95" i="83"/>
  <c r="J94" i="83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5" i="4"/>
  <c r="F5" i="4" s="1"/>
  <c r="H5" i="4" s="1"/>
  <c r="C5" i="2"/>
  <c r="D5" i="2" s="1"/>
  <c r="H8" i="2" s="1"/>
  <c r="I8" i="2" s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D18" i="6"/>
  <c r="C18" i="6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4" i="5"/>
  <c r="K5" i="5"/>
  <c r="K6" i="5"/>
  <c r="K7" i="5"/>
  <c r="K8" i="5"/>
  <c r="K10" i="5"/>
  <c r="K11" i="5"/>
  <c r="K12" i="5"/>
  <c r="K13" i="5"/>
  <c r="K14" i="5"/>
  <c r="K15" i="5"/>
  <c r="K16" i="5"/>
  <c r="K17" i="5"/>
  <c r="K4" i="5"/>
  <c r="H15" i="80"/>
  <c r="H16" i="80"/>
  <c r="H17" i="80"/>
  <c r="H18" i="80"/>
  <c r="H19" i="80"/>
  <c r="H20" i="80"/>
  <c r="H21" i="80"/>
  <c r="H22" i="80"/>
  <c r="H23" i="80"/>
  <c r="H24" i="80"/>
  <c r="H25" i="80"/>
  <c r="H26" i="80"/>
  <c r="H27" i="80"/>
  <c r="H14" i="80"/>
  <c r="G25" i="80"/>
  <c r="G15" i="80"/>
  <c r="F14" i="80"/>
  <c r="G14" i="80"/>
  <c r="E16" i="5"/>
  <c r="C16" i="5"/>
  <c r="V31" i="42" l="1"/>
  <c r="X31" i="42" s="1"/>
  <c r="V27" i="42"/>
  <c r="X27" i="42" s="1"/>
  <c r="AH27" i="42"/>
  <c r="AF46" i="42" s="1"/>
  <c r="CY46" i="42" s="1"/>
  <c r="AG31" i="42"/>
  <c r="AI31" i="42" s="1"/>
  <c r="AH31" i="42"/>
  <c r="AJ31" i="42" s="1"/>
  <c r="R34" i="42"/>
  <c r="V34" i="42" s="1"/>
  <c r="X34" i="42" s="1"/>
  <c r="AD34" i="42"/>
  <c r="AD35" i="42"/>
  <c r="R35" i="42"/>
  <c r="V35" i="42" s="1"/>
  <c r="AG29" i="42"/>
  <c r="AI29" i="42" s="1"/>
  <c r="AH29" i="42"/>
  <c r="AJ29" i="42" s="1"/>
  <c r="CP21" i="42"/>
  <c r="CR21" i="42" s="1"/>
  <c r="CO21" i="42"/>
  <c r="CQ21" i="42" s="1"/>
  <c r="CO20" i="42"/>
  <c r="CQ20" i="42" s="1"/>
  <c r="CP20" i="42"/>
  <c r="CR20" i="42" s="1"/>
  <c r="CP22" i="42"/>
  <c r="CR22" i="42" s="1"/>
  <c r="CO22" i="42"/>
  <c r="CQ22" i="42" s="1"/>
  <c r="CP23" i="42"/>
  <c r="CR23" i="42" s="1"/>
  <c r="CO23" i="42"/>
  <c r="CQ23" i="42" s="1"/>
  <c r="CP19" i="42"/>
  <c r="CR19" i="42" s="1"/>
  <c r="CO19" i="42"/>
  <c r="CQ19" i="42" s="1"/>
  <c r="CR27" i="42"/>
  <c r="CN46" i="42"/>
  <c r="DE46" i="42" s="1"/>
  <c r="CP35" i="42"/>
  <c r="CR35" i="42" s="1"/>
  <c r="CO35" i="42"/>
  <c r="CQ35" i="42" s="1"/>
  <c r="CF27" i="42"/>
  <c r="CB46" i="42"/>
  <c r="DD46" i="42" s="1"/>
  <c r="CD35" i="42"/>
  <c r="CF35" i="42" s="1"/>
  <c r="CC35" i="42"/>
  <c r="CE35" i="42" s="1"/>
  <c r="BR35" i="42"/>
  <c r="BT35" i="42" s="1"/>
  <c r="BQ35" i="42"/>
  <c r="BS35" i="42" s="1"/>
  <c r="BT27" i="42"/>
  <c r="BP46" i="42"/>
  <c r="DC46" i="42" s="1"/>
  <c r="BE35" i="42"/>
  <c r="BG35" i="42" s="1"/>
  <c r="BF35" i="42"/>
  <c r="BH35" i="42" s="1"/>
  <c r="BH27" i="42"/>
  <c r="BD46" i="42"/>
  <c r="DB46" i="42" s="1"/>
  <c r="AS35" i="42"/>
  <c r="AU35" i="42" s="1"/>
  <c r="AT35" i="42"/>
  <c r="AV35" i="42" s="1"/>
  <c r="AV27" i="42"/>
  <c r="AR46" i="42"/>
  <c r="DA46" i="42" s="1"/>
  <c r="AJ27" i="42"/>
  <c r="U29" i="42"/>
  <c r="W29" i="42" s="1"/>
  <c r="V29" i="42"/>
  <c r="X29" i="42" s="1"/>
  <c r="L27" i="42"/>
  <c r="I29" i="42"/>
  <c r="J29" i="42"/>
  <c r="J34" i="42"/>
  <c r="L34" i="42" s="1"/>
  <c r="I34" i="42"/>
  <c r="K34" i="42" s="1"/>
  <c r="I35" i="42"/>
  <c r="J35" i="42"/>
  <c r="F36" i="42"/>
  <c r="F39" i="42"/>
  <c r="F40" i="42"/>
  <c r="G18" i="4"/>
  <c r="H18" i="4"/>
  <c r="G14" i="4"/>
  <c r="H14" i="4"/>
  <c r="G10" i="4"/>
  <c r="H10" i="4"/>
  <c r="G6" i="4"/>
  <c r="H6" i="4"/>
  <c r="G17" i="4"/>
  <c r="H17" i="4"/>
  <c r="G13" i="4"/>
  <c r="H13" i="4"/>
  <c r="G9" i="4"/>
  <c r="H9" i="4"/>
  <c r="G16" i="4"/>
  <c r="H16" i="4"/>
  <c r="G12" i="4"/>
  <c r="H12" i="4"/>
  <c r="G8" i="4"/>
  <c r="H8" i="4"/>
  <c r="G15" i="4"/>
  <c r="H15" i="4"/>
  <c r="G11" i="4"/>
  <c r="H11" i="4"/>
  <c r="G7" i="4"/>
  <c r="H7" i="4"/>
  <c r="G5" i="4"/>
  <c r="H7" i="2"/>
  <c r="I7" i="2" s="1"/>
  <c r="H15" i="2"/>
  <c r="I15" i="2" s="1"/>
  <c r="H11" i="2"/>
  <c r="I11" i="2" s="1"/>
  <c r="H4" i="2"/>
  <c r="I4" i="2" s="1"/>
  <c r="H14" i="2"/>
  <c r="I14" i="2" s="1"/>
  <c r="H10" i="2"/>
  <c r="I10" i="2" s="1"/>
  <c r="H6" i="2"/>
  <c r="I6" i="2" s="1"/>
  <c r="H17" i="2"/>
  <c r="I17" i="2" s="1"/>
  <c r="H13" i="2"/>
  <c r="I13" i="2" s="1"/>
  <c r="H9" i="2"/>
  <c r="I9" i="2" s="1"/>
  <c r="H5" i="2"/>
  <c r="I5" i="2" s="1"/>
  <c r="H16" i="2"/>
  <c r="I16" i="2" s="1"/>
  <c r="H12" i="2"/>
  <c r="I12" i="2" s="1"/>
  <c r="E25" i="80"/>
  <c r="E27" i="80"/>
  <c r="G27" i="80" s="1"/>
  <c r="F15" i="80"/>
  <c r="F16" i="80"/>
  <c r="F17" i="80"/>
  <c r="F18" i="80"/>
  <c r="F19" i="80"/>
  <c r="F20" i="80"/>
  <c r="F21" i="80"/>
  <c r="F22" i="80"/>
  <c r="F23" i="80"/>
  <c r="F24" i="80"/>
  <c r="F25" i="80"/>
  <c r="F26" i="80"/>
  <c r="F27" i="80"/>
  <c r="E26" i="80"/>
  <c r="E24" i="80"/>
  <c r="G24" i="80" s="1"/>
  <c r="E23" i="80"/>
  <c r="G23" i="80" s="1"/>
  <c r="E22" i="80"/>
  <c r="E21" i="80"/>
  <c r="G21" i="80" s="1"/>
  <c r="E20" i="80"/>
  <c r="G20" i="80" s="1"/>
  <c r="E19" i="80"/>
  <c r="G19" i="80" s="1"/>
  <c r="E18" i="80"/>
  <c r="E17" i="80"/>
  <c r="G17" i="80" s="1"/>
  <c r="E16" i="80"/>
  <c r="G16" i="80" s="1"/>
  <c r="E15" i="80"/>
  <c r="E14" i="80"/>
  <c r="K26" i="80"/>
  <c r="D14" i="80" s="1"/>
  <c r="T46" i="42" l="1"/>
  <c r="CZ46" i="42" s="1"/>
  <c r="U35" i="42"/>
  <c r="W35" i="42" s="1"/>
  <c r="R36" i="42"/>
  <c r="V36" i="42" s="1"/>
  <c r="X36" i="42" s="1"/>
  <c r="AD36" i="42"/>
  <c r="R40" i="42"/>
  <c r="U40" i="42" s="1"/>
  <c r="W40" i="42" s="1"/>
  <c r="AD40" i="42"/>
  <c r="U34" i="42"/>
  <c r="W34" i="42" s="1"/>
  <c r="AG35" i="42"/>
  <c r="AI35" i="42" s="1"/>
  <c r="AH35" i="42"/>
  <c r="AJ35" i="42" s="1"/>
  <c r="R39" i="42"/>
  <c r="V39" i="42" s="1"/>
  <c r="AD39" i="42"/>
  <c r="AG34" i="42"/>
  <c r="AI34" i="42" s="1"/>
  <c r="AH34" i="42"/>
  <c r="AJ34" i="42" s="1"/>
  <c r="CP36" i="42"/>
  <c r="CR36" i="42" s="1"/>
  <c r="CO36" i="42"/>
  <c r="CQ36" i="42" s="1"/>
  <c r="CO34" i="42"/>
  <c r="CQ34" i="42" s="1"/>
  <c r="CP34" i="42"/>
  <c r="CR34" i="42" s="1"/>
  <c r="CP29" i="42"/>
  <c r="CO29" i="42"/>
  <c r="CD36" i="42"/>
  <c r="CF36" i="42" s="1"/>
  <c r="CC36" i="42"/>
  <c r="CE36" i="42" s="1"/>
  <c r="CC34" i="42"/>
  <c r="CE34" i="42" s="1"/>
  <c r="CD34" i="42"/>
  <c r="CF34" i="42" s="1"/>
  <c r="CC29" i="42"/>
  <c r="CD29" i="42"/>
  <c r="BR36" i="42"/>
  <c r="BT36" i="42" s="1"/>
  <c r="BQ36" i="42"/>
  <c r="BS36" i="42" s="1"/>
  <c r="BQ34" i="42"/>
  <c r="BS34" i="42" s="1"/>
  <c r="BR34" i="42"/>
  <c r="BT34" i="42" s="1"/>
  <c r="BR29" i="42"/>
  <c r="BQ29" i="42"/>
  <c r="BF36" i="42"/>
  <c r="BH36" i="42" s="1"/>
  <c r="BE36" i="42"/>
  <c r="BG36" i="42" s="1"/>
  <c r="BF29" i="42"/>
  <c r="BE29" i="42"/>
  <c r="BE34" i="42"/>
  <c r="BG34" i="42" s="1"/>
  <c r="BF34" i="42"/>
  <c r="BH34" i="42" s="1"/>
  <c r="AT36" i="42"/>
  <c r="AV36" i="42" s="1"/>
  <c r="AS36" i="42"/>
  <c r="AU36" i="42" s="1"/>
  <c r="AS29" i="42"/>
  <c r="AT29" i="42"/>
  <c r="AS34" i="42"/>
  <c r="AU34" i="42" s="1"/>
  <c r="AT34" i="42"/>
  <c r="AV34" i="42" s="1"/>
  <c r="K29" i="42"/>
  <c r="L29" i="42"/>
  <c r="F94" i="88"/>
  <c r="R10" i="88" s="1"/>
  <c r="X35" i="42"/>
  <c r="I40" i="42"/>
  <c r="K40" i="42" s="1"/>
  <c r="J40" i="42"/>
  <c r="L40" i="42" s="1"/>
  <c r="J36" i="42"/>
  <c r="L36" i="42" s="1"/>
  <c r="I36" i="42"/>
  <c r="K36" i="42" s="1"/>
  <c r="J39" i="42"/>
  <c r="I39" i="42"/>
  <c r="L35" i="42"/>
  <c r="K35" i="42"/>
  <c r="G26" i="80"/>
  <c r="G18" i="80"/>
  <c r="G22" i="80"/>
  <c r="V40" i="42" l="1"/>
  <c r="X40" i="42" s="1"/>
  <c r="U36" i="42"/>
  <c r="W36" i="42" s="1"/>
  <c r="U39" i="42"/>
  <c r="AH36" i="42"/>
  <c r="AJ36" i="42" s="1"/>
  <c r="AG36" i="42"/>
  <c r="AI36" i="42" s="1"/>
  <c r="CP40" i="42"/>
  <c r="CR40" i="42" s="1"/>
  <c r="CO40" i="42"/>
  <c r="CQ40" i="42" s="1"/>
  <c r="CN52" i="42"/>
  <c r="CR29" i="42"/>
  <c r="CP39" i="42"/>
  <c r="CO39" i="42"/>
  <c r="CQ29" i="42"/>
  <c r="CN53" i="42"/>
  <c r="CC39" i="42"/>
  <c r="CD39" i="42"/>
  <c r="CE29" i="42"/>
  <c r="CB53" i="42"/>
  <c r="T52" i="42"/>
  <c r="CZ52" i="42" s="1"/>
  <c r="CD40" i="42"/>
  <c r="CF40" i="42" s="1"/>
  <c r="CC40" i="42"/>
  <c r="CE40" i="42" s="1"/>
  <c r="CF29" i="42"/>
  <c r="CB52" i="42"/>
  <c r="BR40" i="42"/>
  <c r="BT40" i="42" s="1"/>
  <c r="BQ40" i="42"/>
  <c r="BS40" i="42" s="1"/>
  <c r="BR39" i="42"/>
  <c r="BQ39" i="42"/>
  <c r="BS29" i="42"/>
  <c r="BP53" i="42"/>
  <c r="BP52" i="42"/>
  <c r="BT29" i="42"/>
  <c r="H50" i="42"/>
  <c r="CX50" i="42" s="1"/>
  <c r="BF40" i="42"/>
  <c r="BH40" i="42" s="1"/>
  <c r="BE40" i="42"/>
  <c r="BG40" i="42" s="1"/>
  <c r="BE39" i="42"/>
  <c r="BF39" i="42"/>
  <c r="BG29" i="42"/>
  <c r="BD53" i="42"/>
  <c r="BH29" i="42"/>
  <c r="BD52" i="42"/>
  <c r="AT40" i="42"/>
  <c r="AV40" i="42" s="1"/>
  <c r="AS40" i="42"/>
  <c r="AU40" i="42" s="1"/>
  <c r="AV29" i="42"/>
  <c r="AR52" i="42"/>
  <c r="T48" i="42"/>
  <c r="CZ48" i="42" s="1"/>
  <c r="AS39" i="42"/>
  <c r="AR49" i="42" s="1"/>
  <c r="AT39" i="42"/>
  <c r="AU29" i="42"/>
  <c r="AR53" i="42"/>
  <c r="H53" i="42"/>
  <c r="CX53" i="42" s="1"/>
  <c r="H52" i="42"/>
  <c r="CX52" i="42" s="1"/>
  <c r="W39" i="42"/>
  <c r="T51" i="42"/>
  <c r="CZ51" i="42" s="1"/>
  <c r="AH40" i="42"/>
  <c r="AJ40" i="42" s="1"/>
  <c r="AG40" i="42"/>
  <c r="AI40" i="42" s="1"/>
  <c r="H51" i="42"/>
  <c r="CX51" i="42" s="1"/>
  <c r="T53" i="42"/>
  <c r="CZ53" i="42" s="1"/>
  <c r="H48" i="42"/>
  <c r="CX48" i="42" s="1"/>
  <c r="X39" i="42"/>
  <c r="H45" i="42"/>
  <c r="AH39" i="42"/>
  <c r="AG39" i="42"/>
  <c r="H49" i="42"/>
  <c r="CX49" i="42" s="1"/>
  <c r="V10" i="42"/>
  <c r="X10" i="42" s="1"/>
  <c r="U10" i="42"/>
  <c r="J10" i="42"/>
  <c r="L10" i="42" s="1"/>
  <c r="I10" i="42"/>
  <c r="K39" i="42"/>
  <c r="L39" i="42"/>
  <c r="T50" i="42" l="1"/>
  <c r="CZ50" i="42" s="1"/>
  <c r="T49" i="42"/>
  <c r="CZ49" i="42" s="1"/>
  <c r="T45" i="42"/>
  <c r="CZ45" i="42" s="1"/>
  <c r="F45" i="42"/>
  <c r="CX45" i="42"/>
  <c r="AF48" i="42"/>
  <c r="CY48" i="42" s="1"/>
  <c r="R45" i="42"/>
  <c r="AF53" i="42"/>
  <c r="CY53" i="42" s="1"/>
  <c r="AF52" i="42"/>
  <c r="CY52" i="42" s="1"/>
  <c r="BP49" i="42"/>
  <c r="AF49" i="42"/>
  <c r="CY49" i="42" s="1"/>
  <c r="CB48" i="42"/>
  <c r="BD49" i="42"/>
  <c r="CN51" i="42"/>
  <c r="CQ39" i="42"/>
  <c r="CN48" i="42"/>
  <c r="CN45" i="42"/>
  <c r="CN49" i="42"/>
  <c r="CR39" i="42"/>
  <c r="CN50" i="42"/>
  <c r="CB45" i="42"/>
  <c r="CB51" i="42"/>
  <c r="CE39" i="42"/>
  <c r="CB49" i="42"/>
  <c r="CB50" i="42"/>
  <c r="CF39" i="42"/>
  <c r="BD45" i="42"/>
  <c r="BP45" i="42"/>
  <c r="BP51" i="42"/>
  <c r="BS39" i="42"/>
  <c r="BP48" i="42"/>
  <c r="BT39" i="42"/>
  <c r="BP50" i="42"/>
  <c r="BD51" i="42"/>
  <c r="BG39" i="42"/>
  <c r="BH39" i="42"/>
  <c r="BD50" i="42"/>
  <c r="BD48" i="42"/>
  <c r="AV39" i="42"/>
  <c r="AR50" i="42"/>
  <c r="AR45" i="42"/>
  <c r="AR51" i="42"/>
  <c r="AU39" i="42"/>
  <c r="AR48" i="42"/>
  <c r="AF45" i="42"/>
  <c r="AF50" i="42"/>
  <c r="CY50" i="42" s="1"/>
  <c r="AJ39" i="42"/>
  <c r="H44" i="42"/>
  <c r="H47" i="42"/>
  <c r="CX47" i="42" s="1"/>
  <c r="AF51" i="42"/>
  <c r="CY51" i="42" s="1"/>
  <c r="AI39" i="42"/>
  <c r="W10" i="42"/>
  <c r="T42" i="42" s="1"/>
  <c r="CZ42" i="42" s="1"/>
  <c r="T56" i="42"/>
  <c r="CZ56" i="42" s="1"/>
  <c r="T47" i="42"/>
  <c r="CZ47" i="42" s="1"/>
  <c r="T44" i="42"/>
  <c r="K10" i="42"/>
  <c r="H42" i="42" s="1"/>
  <c r="CX42" i="42" s="1"/>
  <c r="H56" i="42"/>
  <c r="AD45" i="42" l="1"/>
  <c r="CY45" i="42"/>
  <c r="H57" i="42"/>
  <c r="CX57" i="42" s="1"/>
  <c r="CX56" i="42"/>
  <c r="H59" i="42"/>
  <c r="CX59" i="42" s="1"/>
  <c r="CX44" i="42"/>
  <c r="F44" i="42"/>
  <c r="T59" i="42"/>
  <c r="CZ59" i="42" s="1"/>
  <c r="R44" i="42"/>
  <c r="CZ44" i="42"/>
  <c r="T58" i="42"/>
  <c r="CZ58" i="42" s="1"/>
  <c r="T60" i="42"/>
  <c r="CZ60" i="42" s="1"/>
  <c r="T57" i="42"/>
  <c r="CZ57" i="42" s="1"/>
  <c r="H60" i="42"/>
  <c r="CX60" i="42" s="1"/>
  <c r="H62" i="42"/>
  <c r="CX62" i="42" s="1"/>
  <c r="H58" i="42"/>
  <c r="CX58" i="42" s="1"/>
  <c r="H61" i="42"/>
  <c r="CX61" i="42" s="1"/>
  <c r="T62" i="42"/>
  <c r="CZ62" i="42" s="1"/>
  <c r="T61" i="42"/>
  <c r="CZ61" i="42" s="1"/>
  <c r="CO8" i="42" l="1"/>
  <c r="CP8" i="42"/>
  <c r="CR8" i="42" s="1"/>
  <c r="CD8" i="42"/>
  <c r="CF8" i="42" s="1"/>
  <c r="CC8" i="42"/>
  <c r="BR8" i="42"/>
  <c r="BT8" i="42" s="1"/>
  <c r="BQ8" i="42"/>
  <c r="BF8" i="42"/>
  <c r="BH8" i="42" s="1"/>
  <c r="BE8" i="42"/>
  <c r="AS8" i="42"/>
  <c r="AT8" i="42"/>
  <c r="AV8" i="42" s="1"/>
  <c r="AH8" i="42"/>
  <c r="AJ8" i="42" s="1"/>
  <c r="AG8" i="42"/>
  <c r="CQ8" i="42" l="1"/>
  <c r="CN42" i="42" s="1"/>
  <c r="CN56" i="42"/>
  <c r="CN44" i="42"/>
  <c r="CN47" i="42"/>
  <c r="DE47" i="42" s="1"/>
  <c r="CE8" i="42"/>
  <c r="CB42" i="42" s="1"/>
  <c r="CB44" i="42"/>
  <c r="CB56" i="42"/>
  <c r="DD56" i="42" s="1"/>
  <c r="CB47" i="42"/>
  <c r="DD47" i="42" s="1"/>
  <c r="BS8" i="42"/>
  <c r="BP42" i="42" s="1"/>
  <c r="BP56" i="42"/>
  <c r="DC56" i="42" s="1"/>
  <c r="BP47" i="42"/>
  <c r="DC47" i="42" s="1"/>
  <c r="BP44" i="42"/>
  <c r="BG8" i="42"/>
  <c r="BD42" i="42" s="1"/>
  <c r="BD56" i="42"/>
  <c r="DB56" i="42" s="1"/>
  <c r="BD44" i="42"/>
  <c r="BD47" i="42"/>
  <c r="DB47" i="42" s="1"/>
  <c r="AU8" i="42"/>
  <c r="AR42" i="42" s="1"/>
  <c r="DA42" i="42" s="1"/>
  <c r="AR56" i="42"/>
  <c r="DA56" i="42" s="1"/>
  <c r="AR44" i="42"/>
  <c r="AR47" i="42"/>
  <c r="DA47" i="42" s="1"/>
  <c r="AI8" i="42"/>
  <c r="AF42" i="42" s="1"/>
  <c r="CY42" i="42" s="1"/>
  <c r="AF44" i="42"/>
  <c r="AF56" i="42"/>
  <c r="CY56" i="42" s="1"/>
  <c r="AF47" i="42"/>
  <c r="CY47" i="42" s="1"/>
  <c r="G100" i="87"/>
  <c r="U75" i="87" s="1"/>
  <c r="G99" i="87"/>
  <c r="U74" i="87" s="1"/>
  <c r="BP59" i="42" l="1"/>
  <c r="DC59" i="42" s="1"/>
  <c r="DC44" i="42"/>
  <c r="BD59" i="42"/>
  <c r="DB59" i="42" s="1"/>
  <c r="DB44" i="42"/>
  <c r="CN59" i="42"/>
  <c r="DE59" i="42" s="1"/>
  <c r="DE44" i="42"/>
  <c r="CB59" i="42"/>
  <c r="DD59" i="42" s="1"/>
  <c r="DD44" i="42"/>
  <c r="CN57" i="42"/>
  <c r="DE57" i="42" s="1"/>
  <c r="DE56" i="42"/>
  <c r="AR59" i="42"/>
  <c r="DA59" i="42" s="1"/>
  <c r="DA44" i="42"/>
  <c r="DB42" i="42"/>
  <c r="DC42" i="42"/>
  <c r="DD42" i="42"/>
  <c r="DE42" i="42"/>
  <c r="AF59" i="42"/>
  <c r="CY59" i="42" s="1"/>
  <c r="AD44" i="42"/>
  <c r="CY44" i="42"/>
  <c r="CN62" i="42"/>
  <c r="DE62" i="42" s="1"/>
  <c r="CN58" i="42"/>
  <c r="DE58" i="42" s="1"/>
  <c r="CN61" i="42"/>
  <c r="DE61" i="42" s="1"/>
  <c r="CN60" i="42"/>
  <c r="DE60" i="42" s="1"/>
  <c r="CB58" i="42"/>
  <c r="DD58" i="42" s="1"/>
  <c r="CB62" i="42"/>
  <c r="DD62" i="42" s="1"/>
  <c r="CB61" i="42"/>
  <c r="DD61" i="42" s="1"/>
  <c r="CB57" i="42"/>
  <c r="DD57" i="42" s="1"/>
  <c r="CB60" i="42"/>
  <c r="DD60" i="42" s="1"/>
  <c r="BP58" i="42"/>
  <c r="DC58" i="42" s="1"/>
  <c r="BP62" i="42"/>
  <c r="DC62" i="42" s="1"/>
  <c r="BP61" i="42"/>
  <c r="DC61" i="42" s="1"/>
  <c r="BP57" i="42"/>
  <c r="DC57" i="42" s="1"/>
  <c r="BP60" i="42"/>
  <c r="DC60" i="42" s="1"/>
  <c r="BD62" i="42"/>
  <c r="DB62" i="42" s="1"/>
  <c r="BD58" i="42"/>
  <c r="DB58" i="42" s="1"/>
  <c r="BD61" i="42"/>
  <c r="DB61" i="42" s="1"/>
  <c r="BD57" i="42"/>
  <c r="DB57" i="42" s="1"/>
  <c r="BD60" i="42"/>
  <c r="DB60" i="42" s="1"/>
  <c r="AR57" i="42"/>
  <c r="DA57" i="42" s="1"/>
  <c r="AR60" i="42"/>
  <c r="DA60" i="42" s="1"/>
  <c r="AR58" i="42"/>
  <c r="DA58" i="42" s="1"/>
  <c r="AR62" i="42"/>
  <c r="DA62" i="42" s="1"/>
  <c r="AR61" i="42"/>
  <c r="DA61" i="42" s="1"/>
  <c r="AF58" i="42"/>
  <c r="CY58" i="42" s="1"/>
  <c r="AF62" i="42"/>
  <c r="CY62" i="42" s="1"/>
  <c r="AF61" i="42"/>
  <c r="CY61" i="42" s="1"/>
  <c r="AF57" i="42"/>
  <c r="CY57" i="42" s="1"/>
  <c r="AF60" i="42"/>
  <c r="CY60" i="42" s="1"/>
</calcChain>
</file>

<file path=xl/sharedStrings.xml><?xml version="1.0" encoding="utf-8"?>
<sst xmlns="http://schemas.openxmlformats.org/spreadsheetml/2006/main" count="2253" uniqueCount="483">
  <si>
    <t>Perfil (m)</t>
  </si>
  <si>
    <t>N</t>
  </si>
  <si>
    <t>P</t>
  </si>
  <si>
    <t>K</t>
  </si>
  <si>
    <t>Ca</t>
  </si>
  <si>
    <t>Mg</t>
  </si>
  <si>
    <t>S</t>
  </si>
  <si>
    <t>B</t>
  </si>
  <si>
    <t>Cu</t>
  </si>
  <si>
    <t>Fe</t>
  </si>
  <si>
    <t>Mn</t>
  </si>
  <si>
    <t>Zn</t>
  </si>
  <si>
    <t>Item</t>
  </si>
  <si>
    <t>H</t>
  </si>
  <si>
    <r>
      <t>N</t>
    </r>
    <r>
      <rPr>
        <b/>
        <vertAlign val="superscript"/>
        <sz val="10"/>
        <color indexed="8"/>
        <rFont val="Arial"/>
        <family val="2"/>
      </rPr>
      <t>o</t>
    </r>
  </si>
  <si>
    <t>Valor</t>
  </si>
  <si>
    <t>Unidade</t>
  </si>
  <si>
    <t>Tr (seJ/uni.)</t>
  </si>
  <si>
    <t>Ref.</t>
  </si>
  <si>
    <t>Sol</t>
  </si>
  <si>
    <t>J/ha.ano</t>
  </si>
  <si>
    <t>kg/ha.ano</t>
  </si>
  <si>
    <t>Vento</t>
  </si>
  <si>
    <t xml:space="preserve">kg/ha.ano </t>
  </si>
  <si>
    <t xml:space="preserve">kg/ha </t>
  </si>
  <si>
    <t>Erosão do solo</t>
  </si>
  <si>
    <t>média</t>
  </si>
  <si>
    <t>Soerguimento geológico</t>
  </si>
  <si>
    <t>C</t>
  </si>
  <si>
    <t>O</t>
  </si>
  <si>
    <t>uma</t>
  </si>
  <si>
    <t>Massa atômica das espécies</t>
  </si>
  <si>
    <t>Odum (2000)</t>
  </si>
  <si>
    <t>Cohen (2007)</t>
  </si>
  <si>
    <t>Cohen (2003)</t>
  </si>
  <si>
    <t>Tr Ref.</t>
  </si>
  <si>
    <t>Buenfil (2001)</t>
  </si>
  <si>
    <t>%</t>
  </si>
  <si>
    <t>Ukidwe (2005)</t>
  </si>
  <si>
    <t>Albedo (%)</t>
  </si>
  <si>
    <t>R</t>
  </si>
  <si>
    <t>Ulgiati e Tabacco (2001)</t>
  </si>
  <si>
    <t>(kg/ha.ano)</t>
  </si>
  <si>
    <t>Entrada de dados</t>
  </si>
  <si>
    <t>Dados primários (obtidos em campo/laboratório)</t>
  </si>
  <si>
    <t>Dados secundários (obtidos na literatura)</t>
  </si>
  <si>
    <t>Dados obtidos por operações aritméticas</t>
  </si>
  <si>
    <t>Número Verde</t>
  </si>
  <si>
    <t>Número Azul</t>
  </si>
  <si>
    <t>Número Vermelho</t>
  </si>
  <si>
    <t>Número Negrito</t>
  </si>
  <si>
    <t>Legenda:</t>
  </si>
  <si>
    <t>Célula Cinza</t>
  </si>
  <si>
    <t>Célula Amarela</t>
  </si>
  <si>
    <t>PPL</t>
  </si>
  <si>
    <t xml:space="preserve">J/ha.ano </t>
  </si>
  <si>
    <t xml:space="preserve">Dados assumidos usando senso comum, por falta de referência </t>
  </si>
  <si>
    <t>Área</t>
  </si>
  <si>
    <t>Para melhor visualizar o software, vá em Barra de Ferramentas e clique em Exibição → Tela Inteira</t>
  </si>
  <si>
    <t>Odum (1996)</t>
  </si>
  <si>
    <r>
      <t>kWh/m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.dia</t>
    </r>
  </si>
  <si>
    <t>Diagnóstico ambiental</t>
  </si>
  <si>
    <t>Elaboração do projeto</t>
  </si>
  <si>
    <t>Adubação de base</t>
  </si>
  <si>
    <t>Plantio</t>
  </si>
  <si>
    <t>IN - Recursos da Natureza Não Renováveis</t>
  </si>
  <si>
    <t>F - Recursos da Economia</t>
  </si>
  <si>
    <t>Adubo químico</t>
  </si>
  <si>
    <t>Formicida</t>
  </si>
  <si>
    <t>Aplicação de herbicida</t>
  </si>
  <si>
    <t>RF1,5A</t>
  </si>
  <si>
    <t>C1,5A</t>
  </si>
  <si>
    <t>RF5A</t>
  </si>
  <si>
    <t>C5A</t>
  </si>
  <si>
    <t>RF8A</t>
  </si>
  <si>
    <t>C8A</t>
  </si>
  <si>
    <t>RF14A</t>
  </si>
  <si>
    <t>C14A</t>
  </si>
  <si>
    <t>RF20A</t>
  </si>
  <si>
    <t>C20A</t>
  </si>
  <si>
    <t>RF26A</t>
  </si>
  <si>
    <t>C26A</t>
  </si>
  <si>
    <t>FN</t>
  </si>
  <si>
    <t>CFN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</si>
  <si>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</si>
  <si>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</si>
  <si>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</si>
  <si>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</si>
  <si>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</si>
  <si>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</si>
  <si>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</si>
  <si>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</si>
  <si>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</si>
  <si>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</si>
  <si>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</si>
  <si>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</si>
  <si>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https://eosweb.larc.nasa.gov/cgi-bin/sse/sse.cgi?skip@larc.nasa.gov </t>
  </si>
  <si>
    <t>Mês</t>
  </si>
  <si>
    <t>Idade (ano)</t>
  </si>
  <si>
    <t>Área/Sigla [1]</t>
  </si>
  <si>
    <t>Idade da área (ano) [2]</t>
  </si>
  <si>
    <r>
      <t>kWh/m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.dia [3]</t>
    </r>
  </si>
  <si>
    <t>Albedo (%) [4]</t>
  </si>
  <si>
    <t>kWh/ha.ano [5]</t>
  </si>
  <si>
    <t>J/ha.ano [6]</t>
  </si>
  <si>
    <t>Restauração avançada</t>
  </si>
  <si>
    <t>Floresta natural/primária</t>
  </si>
  <si>
    <t>J/ha.Inv. [7]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</si>
  <si>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</si>
  <si>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</si>
  <si>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</si>
  <si>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</si>
  <si>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</si>
  <si>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</si>
  <si>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</si>
  <si>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</si>
  <si>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</si>
  <si>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 xml:space="preserve">Outubro </t>
  </si>
  <si>
    <t>Novembro</t>
  </si>
  <si>
    <t>Dezembro</t>
  </si>
  <si>
    <r>
      <t>mm/m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.ano [10]</t>
    </r>
  </si>
  <si>
    <r>
      <t>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/ha.ano [11]</t>
    </r>
  </si>
  <si>
    <t>kg/ha.ano [12]</t>
  </si>
  <si>
    <t>J/ha.ano [13]</t>
  </si>
  <si>
    <t>J/ha.Inv. [14]</t>
  </si>
  <si>
    <t>[13] Energia livre de Gibbs = 4940 J/kg (ODUM, 2000)</t>
  </si>
  <si>
    <t>Tabela 04. Pluviosidade média da região</t>
  </si>
  <si>
    <t>Tabela 05. Energia da chuva investida por área</t>
  </si>
  <si>
    <t>[10] Faria (2006)</t>
  </si>
  <si>
    <t>soma</t>
  </si>
  <si>
    <t>Tabela 06. Velocidade média do vento - média para região</t>
  </si>
  <si>
    <t>m/s [15]</t>
  </si>
  <si>
    <t>J/ha.ano [16]</t>
  </si>
  <si>
    <t>J/ha.Inv. [17]</t>
  </si>
  <si>
    <t>J/ha.ano [20]</t>
  </si>
  <si>
    <t>J/ha.Inv. [21]</t>
  </si>
  <si>
    <t>Tabela 08. Energia do soerguimento geológico</t>
  </si>
  <si>
    <t>Tabela 09. Energia do soerguimento geológico para as áreas de estudo</t>
  </si>
  <si>
    <t>Vazão (L/s) [22]</t>
  </si>
  <si>
    <t>Vazão (L/ano) [23]</t>
  </si>
  <si>
    <r>
      <t>Vazão (m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/ano) [24]</t>
    </r>
  </si>
  <si>
    <r>
      <t>Vazão</t>
    </r>
    <r>
      <rPr>
        <b/>
        <sz val="10"/>
        <color theme="1"/>
        <rFont val="Arial"/>
        <family val="2"/>
      </rPr>
      <t xml:space="preserve"> (kg/ano) [25]</t>
    </r>
  </si>
  <si>
    <t xml:space="preserve">Idade   </t>
  </si>
  <si>
    <t>Sigla</t>
  </si>
  <si>
    <t>Tabela 10. Volume e nergia da água de nascente</t>
  </si>
  <si>
    <t>Implantação</t>
  </si>
  <si>
    <t>Abertura de covas</t>
  </si>
  <si>
    <t>Manutenção 1o ano</t>
  </si>
  <si>
    <t>Replantio</t>
  </si>
  <si>
    <t>Controle de formigas (repasse)</t>
  </si>
  <si>
    <t>Manutenção 2o ano</t>
  </si>
  <si>
    <t xml:space="preserve">H/H.ha </t>
  </si>
  <si>
    <t>Adubação de cobertura</t>
  </si>
  <si>
    <t>hp</t>
  </si>
  <si>
    <t>Potência nominal do trator</t>
  </si>
  <si>
    <t xml:space="preserve">L/ha </t>
  </si>
  <si>
    <t>km</t>
  </si>
  <si>
    <t>Monitoramento</t>
  </si>
  <si>
    <t>Depreciação - veículo</t>
  </si>
  <si>
    <t>Herbicida</t>
  </si>
  <si>
    <t>Materiais</t>
  </si>
  <si>
    <t>Mudas florestais - plantio</t>
  </si>
  <si>
    <t>Mudas florestais - replantio</t>
  </si>
  <si>
    <t>Custo do trator</t>
  </si>
  <si>
    <t>Vida útil do trator</t>
  </si>
  <si>
    <t>Depreciação do trator</t>
  </si>
  <si>
    <t>horas</t>
  </si>
  <si>
    <t>Custo do veículo</t>
  </si>
  <si>
    <t>Vida útil do veículo</t>
  </si>
  <si>
    <t>Depreciação do veículo</t>
  </si>
  <si>
    <t>Custo - manutenção do trator</t>
  </si>
  <si>
    <t>Custo - manutenção do veículo</t>
  </si>
  <si>
    <t>Litros/h.hp*</t>
  </si>
  <si>
    <t xml:space="preserve">unid/ha </t>
  </si>
  <si>
    <t>Custo da muda</t>
  </si>
  <si>
    <t>Deslocamento (ida e volta) para - RF1,5A</t>
  </si>
  <si>
    <t>Deslocamento (ida e volta) para - RF5A</t>
  </si>
  <si>
    <t>Deslocamento (ida e volta) para - RF8A</t>
  </si>
  <si>
    <t>Deslocamento (ida e volta) para - RF14A</t>
  </si>
  <si>
    <t>Deslocamento (ida e volta) para - RF20A</t>
  </si>
  <si>
    <t>Deslocamento (ida e volta) para - RF26A</t>
  </si>
  <si>
    <t>Consumo do veículo</t>
  </si>
  <si>
    <t>km/L</t>
  </si>
  <si>
    <t>Fator de consumo médio do trator</t>
  </si>
  <si>
    <t>Consumo do trator</t>
  </si>
  <si>
    <t>L/h</t>
  </si>
  <si>
    <t xml:space="preserve"> Serviços</t>
  </si>
  <si>
    <t>I - Recursos da Natureza Renováveis</t>
  </si>
  <si>
    <t>Calcário</t>
  </si>
  <si>
    <t>Depreciação - trator</t>
  </si>
  <si>
    <t>3 Calculado neste trabalho (L/h.hp x L/h)</t>
  </si>
  <si>
    <t>2, 6 Pacheco (2000)</t>
  </si>
  <si>
    <t>7 Calculado neste trabalho (R$ do trator + R$ manutenção) / h de vida útil</t>
  </si>
  <si>
    <t>11 Calculado neste trabalho (R$ do trator + R$ manutenção) / km de vida útil</t>
  </si>
  <si>
    <r>
      <t>13 Calculado neste trabalho (10000m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/ha / 6m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muda = 1667 mudas)</t>
    </r>
  </si>
  <si>
    <t>1, 4, 5, 8, 9, 10, 12, 15 Considerado para este trabalho</t>
  </si>
  <si>
    <t>14 Considerado para este trabalho 10% do plantio</t>
  </si>
  <si>
    <t>Abertura de sulco (subsolador)</t>
  </si>
  <si>
    <t>Limpeza da área mecanizada</t>
  </si>
  <si>
    <t>Calagem</t>
  </si>
  <si>
    <t>Plantio (área total)</t>
  </si>
  <si>
    <t>Irrigação - replantio</t>
  </si>
  <si>
    <t>Irrigação - plantio</t>
  </si>
  <si>
    <t>16-21 Calculado neste trabalho (em campo)</t>
  </si>
  <si>
    <t>Compra de mudas (visita no viveiro)</t>
  </si>
  <si>
    <t>Áreas</t>
  </si>
  <si>
    <t xml:space="preserve">Limpeza da área </t>
  </si>
  <si>
    <t>Monitoramento (2o ano)</t>
  </si>
  <si>
    <t>Monitoramento (4o ano)</t>
  </si>
  <si>
    <t>Monitoramento (6o ano)</t>
  </si>
  <si>
    <t>1-9 Rodrigues (2009)</t>
  </si>
  <si>
    <t>10 Estimado para este trabalho (10% do utilizado no plantio)</t>
  </si>
  <si>
    <t>Diagnóstico ambiental - especializada</t>
  </si>
  <si>
    <t>Elaboração do projeto - especializada</t>
  </si>
  <si>
    <t>Monitoramento - especializada</t>
  </si>
  <si>
    <t>Plantio em área total</t>
  </si>
  <si>
    <t>Monitoramento (2o ano) - especializada</t>
  </si>
  <si>
    <t>Monitoramento (4o ano) - especializada</t>
  </si>
  <si>
    <t>Monitoramento (6o ano) - especializada</t>
  </si>
  <si>
    <t>6, 8, 9, 10, 12, 15 Rodrigues (2009)</t>
  </si>
  <si>
    <t>Totais</t>
  </si>
  <si>
    <t>Combustível 1o ano</t>
  </si>
  <si>
    <t>Combustível 2o ano</t>
  </si>
  <si>
    <t>Combustível 4o ano</t>
  </si>
  <si>
    <t>Combustível 6o ano</t>
  </si>
  <si>
    <t>Deslocamento 1o ano</t>
  </si>
  <si>
    <t>Deslocamento 2o ano</t>
  </si>
  <si>
    <t>Deslocamento 4o ano</t>
  </si>
  <si>
    <t>Deslocamento 6o ano</t>
  </si>
  <si>
    <t>litros</t>
  </si>
  <si>
    <t>Combustível</t>
  </si>
  <si>
    <t>11 Estimado para este trabalho (total de horas máquina x consumo do trator)</t>
  </si>
  <si>
    <t>Mão de obra 1o ano</t>
  </si>
  <si>
    <t>Mão de obra especializada 1o ano</t>
  </si>
  <si>
    <t>Mão de obra especializada 2o ano</t>
  </si>
  <si>
    <t>Mão de obra especializada 4o ano</t>
  </si>
  <si>
    <t>Mão de obra especializada 6o ano</t>
  </si>
  <si>
    <t>Mão de obra 2o ano</t>
  </si>
  <si>
    <t>Compra de mudas (visita no viveiro - esp.)</t>
  </si>
  <si>
    <t>Combustível gasto 1o ano</t>
  </si>
  <si>
    <t>Atividade - Utilização do veículo</t>
  </si>
  <si>
    <t>Atividade - Utilização do trator</t>
  </si>
  <si>
    <t>Dados de referência - importante</t>
  </si>
  <si>
    <t>Os demais dados foram coletados em campo, mediante entrevista com funcionários da CESP/APOENA</t>
  </si>
  <si>
    <t>O número de operações foram coletados em campo, mediante entrevista com funcionários da CESP/APOENA</t>
  </si>
  <si>
    <t>Atividade - Mão de obra</t>
  </si>
  <si>
    <t>Operações</t>
  </si>
  <si>
    <t>Atividade - Insumos</t>
  </si>
  <si>
    <t xml:space="preserve">Aplicação de herbicida </t>
  </si>
  <si>
    <t>Controle de formigas (pré/pós plantio)</t>
  </si>
  <si>
    <t>1-21 Estimado para este trabalho a partir do deslocamento em campo (ida e volta na área x No operação para cada atividade)</t>
  </si>
  <si>
    <t>22-25 Calculado neste trabalho (somatória do km para cada ano)</t>
  </si>
  <si>
    <t>26-29 Calculado neste trabalho (km rodado no ano / consumo do veículo)</t>
  </si>
  <si>
    <t>Água -irrigação de replantio</t>
  </si>
  <si>
    <t>Água - irrigação de plantio</t>
  </si>
  <si>
    <t>Água - aplicação de herbicida</t>
  </si>
  <si>
    <t>1-5, 9-11, 13-14 Rodrigues (2009)</t>
  </si>
  <si>
    <t>1o ano</t>
  </si>
  <si>
    <t>2o ano</t>
  </si>
  <si>
    <t>4o ano</t>
  </si>
  <si>
    <t>6o ano</t>
  </si>
  <si>
    <t>Mudas florestais - plantio/replantio</t>
  </si>
  <si>
    <t xml:space="preserve">L/ha.ano </t>
  </si>
  <si>
    <t>Total de horas 1o ano</t>
  </si>
  <si>
    <t>hM.ha.ano</t>
  </si>
  <si>
    <t>hM/ha</t>
  </si>
  <si>
    <t xml:space="preserve">HH/ha.ano </t>
  </si>
  <si>
    <t xml:space="preserve">Mão de obra </t>
  </si>
  <si>
    <t xml:space="preserve">Mão de obra especializada </t>
  </si>
  <si>
    <t>22 Erosão para áreas de pastagem - início do reflorestamentio (COSTA, 1985)</t>
  </si>
  <si>
    <t>Serapilheira (kg/ha.ano)</t>
  </si>
  <si>
    <r>
      <t xml:space="preserve">Metanotrofia  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(mg CH</t>
    </r>
    <r>
      <rPr>
        <b/>
        <vertAlign val="sub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.dia)</t>
    </r>
  </si>
  <si>
    <r>
      <t>Metanotrofia     (kg CH</t>
    </r>
    <r>
      <rPr>
        <b/>
        <vertAlign val="sub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/ha.ano)</t>
    </r>
  </si>
  <si>
    <t>Biomassa arbórea seca (kgC/ha)</t>
  </si>
  <si>
    <t>Biomassa arbórea seca (kg/ha)</t>
  </si>
  <si>
    <t>Serapilheira seca (kgC/ha.ano)</t>
  </si>
  <si>
    <t>Serapilheira seca (kg/ha.ano)</t>
  </si>
  <si>
    <t>Biomassa  seca total (kgC/ha)</t>
  </si>
  <si>
    <t>Biomassa seca total (kg/ha)</t>
  </si>
  <si>
    <r>
      <t>N</t>
    </r>
    <r>
      <rPr>
        <b/>
        <vertAlign val="superscript"/>
        <sz val="10"/>
        <rFont val="Arial"/>
        <family val="2"/>
      </rPr>
      <t>o</t>
    </r>
  </si>
  <si>
    <r>
      <t xml:space="preserve">Chuva </t>
    </r>
    <r>
      <rPr>
        <sz val="7"/>
        <rFont val="Arial"/>
        <family val="2"/>
      </rPr>
      <t>(química)</t>
    </r>
  </si>
  <si>
    <r>
      <t xml:space="preserve">Água </t>
    </r>
    <r>
      <rPr>
        <sz val="7"/>
        <rFont val="Arial"/>
        <family val="2"/>
      </rPr>
      <t>(lençol freático para nascente)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</si>
  <si>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(atmosfera)</t>
    </r>
  </si>
  <si>
    <r>
      <t>CH</t>
    </r>
    <r>
      <rPr>
        <vertAlign val="subscript"/>
        <sz val="10"/>
        <rFont val="Arial"/>
        <family val="2"/>
      </rPr>
      <t xml:space="preserve">4 </t>
    </r>
    <r>
      <rPr>
        <sz val="7"/>
        <rFont val="Arial"/>
        <family val="2"/>
      </rPr>
      <t>(atmosfera)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</si>
  <si>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(atmosfera)</t>
    </r>
  </si>
  <si>
    <r>
      <t xml:space="preserve">P </t>
    </r>
    <r>
      <rPr>
        <sz val="7"/>
        <rFont val="Arial"/>
        <family val="2"/>
      </rPr>
      <t>(sub-solo)</t>
    </r>
  </si>
  <si>
    <r>
      <t xml:space="preserve">K </t>
    </r>
    <r>
      <rPr>
        <sz val="7"/>
        <rFont val="Arial"/>
        <family val="2"/>
      </rPr>
      <t>(sub-solo)</t>
    </r>
  </si>
  <si>
    <r>
      <t>Ca</t>
    </r>
    <r>
      <rPr>
        <sz val="7"/>
        <rFont val="Arial"/>
        <family val="2"/>
      </rPr>
      <t xml:space="preserve"> (sub-solo)</t>
    </r>
  </si>
  <si>
    <r>
      <t xml:space="preserve">Mg </t>
    </r>
    <r>
      <rPr>
        <sz val="7"/>
        <rFont val="Arial"/>
        <family val="2"/>
      </rPr>
      <t>(sub-solo)</t>
    </r>
  </si>
  <si>
    <r>
      <t xml:space="preserve">S </t>
    </r>
    <r>
      <rPr>
        <sz val="7"/>
        <rFont val="Arial"/>
        <family val="2"/>
      </rPr>
      <t>(sub-solo)</t>
    </r>
  </si>
  <si>
    <r>
      <t xml:space="preserve">B </t>
    </r>
    <r>
      <rPr>
        <sz val="7"/>
        <rFont val="Arial"/>
        <family val="2"/>
      </rPr>
      <t>(sub-solo)</t>
    </r>
  </si>
  <si>
    <r>
      <t xml:space="preserve">Cu </t>
    </r>
    <r>
      <rPr>
        <sz val="7"/>
        <rFont val="Arial"/>
        <family val="2"/>
      </rPr>
      <t>(sub-solo)</t>
    </r>
  </si>
  <si>
    <r>
      <t xml:space="preserve">Fe </t>
    </r>
    <r>
      <rPr>
        <sz val="7"/>
        <rFont val="Arial"/>
        <family val="2"/>
      </rPr>
      <t>(sub-solo)</t>
    </r>
  </si>
  <si>
    <r>
      <t xml:space="preserve">Mn </t>
    </r>
    <r>
      <rPr>
        <sz val="7"/>
        <rFont val="Arial"/>
        <family val="2"/>
      </rPr>
      <t>(sub-solo)</t>
    </r>
  </si>
  <si>
    <r>
      <t xml:space="preserve">Zn </t>
    </r>
    <r>
      <rPr>
        <sz val="7"/>
        <rFont val="Arial"/>
        <family val="2"/>
      </rPr>
      <t>(sub-solo)</t>
    </r>
  </si>
  <si>
    <t>Matéria seca</t>
  </si>
  <si>
    <t>Considerando que 1% dos nutrientes da serapilheira é absorvido no subsolo</t>
  </si>
  <si>
    <t>P (E-1)</t>
  </si>
  <si>
    <t>Recursos da Natureza</t>
  </si>
  <si>
    <t>I</t>
  </si>
  <si>
    <t>NR</t>
  </si>
  <si>
    <t>Roncon (2011)</t>
  </si>
  <si>
    <t>Água - irrigação plantio/replantio</t>
  </si>
  <si>
    <t>M</t>
  </si>
  <si>
    <t>Materiais da Economia</t>
  </si>
  <si>
    <t xml:space="preserve"> Serviços da Economia</t>
  </si>
  <si>
    <t>Brown e Ulgiati (2004)</t>
  </si>
  <si>
    <t>23 Erosão para áreas de reflorestamentio (COSTA, 1985)</t>
  </si>
  <si>
    <t>24 Erosão para áreas de floresta natural (COSTA, 1985)</t>
  </si>
  <si>
    <t>Erosão do solo - pastagem</t>
  </si>
  <si>
    <t>Erosão do solo - reflorestamento</t>
  </si>
  <si>
    <t>Erosão do solo - floresta natural</t>
  </si>
  <si>
    <t>Ortega (2011)</t>
  </si>
  <si>
    <t>Água para irrigação - plantio/replantio</t>
  </si>
  <si>
    <t>Ortega</t>
  </si>
  <si>
    <t>Brandt-Williams (2002)</t>
  </si>
  <si>
    <t>Energia da mão de obra</t>
  </si>
  <si>
    <t>J/ind.ano - Odum (1996)</t>
  </si>
  <si>
    <t>J/ind.hora - Este trabalho</t>
  </si>
  <si>
    <t>h/trabalhada</t>
  </si>
  <si>
    <t>Estimativa do EmR$ para este trabalho</t>
  </si>
  <si>
    <t xml:space="preserve">http://www4.bcb.gov.br/pec/taxas/batch/taxas.asp?id=txdolar </t>
  </si>
  <si>
    <t>EmDólar</t>
  </si>
  <si>
    <t>1 Cotação dólar - Banco Central do Brasil para o dia 10/11/2015</t>
  </si>
  <si>
    <t xml:space="preserve">2 EmDolar para o Brasil - Calculado por Coelho, Ortega e Comar (2003) </t>
  </si>
  <si>
    <t>Fração</t>
  </si>
  <si>
    <t>Renovabilidade Emergética</t>
  </si>
  <si>
    <t>Taxa de carga ambiental</t>
  </si>
  <si>
    <t>E</t>
  </si>
  <si>
    <t>Perfil (cm)</t>
  </si>
  <si>
    <t>0-5</t>
  </si>
  <si>
    <t>5-20</t>
  </si>
  <si>
    <t>20-40</t>
  </si>
  <si>
    <t>40-60</t>
  </si>
  <si>
    <t>P Resina</t>
  </si>
  <si>
    <t>M.O.</t>
  </si>
  <si>
    <t>mg/dm3</t>
  </si>
  <si>
    <t>g/dm3</t>
  </si>
  <si>
    <t>mmolc/dm3</t>
  </si>
  <si>
    <t>0 - 0,6</t>
  </si>
  <si>
    <t>Tr</t>
  </si>
  <si>
    <r>
      <t>Entrada de CO</t>
    </r>
    <r>
      <rPr>
        <b/>
        <vertAlign val="subscript"/>
        <sz val="10"/>
        <color theme="1"/>
        <rFont val="Arial"/>
        <family val="2"/>
      </rPr>
      <t xml:space="preserve">2 </t>
    </r>
    <r>
      <rPr>
        <b/>
        <sz val="10"/>
        <color theme="1"/>
        <rFont val="Arial"/>
        <family val="2"/>
      </rPr>
      <t>(kg/ha.ano)</t>
    </r>
  </si>
  <si>
    <t>PPL Biomassa verde (kgC/ha.ano)</t>
  </si>
  <si>
    <t>Tr - Roncon (2011)</t>
  </si>
  <si>
    <t>Percolação de água</t>
  </si>
  <si>
    <t>Deposição de serpilheira</t>
  </si>
  <si>
    <t>Metanotrofia</t>
  </si>
  <si>
    <t>Controle da erosão</t>
  </si>
  <si>
    <t>Emergia incorporada pelo sistema</t>
  </si>
  <si>
    <t>F</t>
  </si>
  <si>
    <t xml:space="preserve">Emergia total da natureza </t>
  </si>
  <si>
    <t>Emergia não renovável da natureza</t>
  </si>
  <si>
    <t>Emergia renovável da natureza</t>
  </si>
  <si>
    <t>Emergia total dos recursos da economia</t>
  </si>
  <si>
    <t>Emergia não renovável dos recursos da economia</t>
  </si>
  <si>
    <t>Emergia renovável dos recursos da economia</t>
  </si>
  <si>
    <t>Emergia não renovável dos serviços da economia</t>
  </si>
  <si>
    <t>Emergia renovável dos serviços da economia</t>
  </si>
  <si>
    <t>Emergia não renovável dos materiais da economia</t>
  </si>
  <si>
    <t>Emergia renovável dos materias da economia</t>
  </si>
  <si>
    <r>
      <t>I</t>
    </r>
    <r>
      <rPr>
        <b/>
        <vertAlign val="subscript"/>
        <sz val="10"/>
        <rFont val="Arial"/>
        <family val="2"/>
      </rPr>
      <t>N</t>
    </r>
  </si>
  <si>
    <r>
      <t>I</t>
    </r>
    <r>
      <rPr>
        <b/>
        <vertAlign val="subscript"/>
        <sz val="10"/>
        <rFont val="Arial"/>
        <family val="2"/>
      </rPr>
      <t>R</t>
    </r>
  </si>
  <si>
    <r>
      <t>F</t>
    </r>
    <r>
      <rPr>
        <b/>
        <vertAlign val="subscript"/>
        <sz val="10"/>
        <rFont val="Arial"/>
        <family val="2"/>
      </rPr>
      <t>N</t>
    </r>
  </si>
  <si>
    <r>
      <t>F</t>
    </r>
    <r>
      <rPr>
        <b/>
        <vertAlign val="subscript"/>
        <sz val="10"/>
        <rFont val="Arial"/>
        <family val="2"/>
      </rPr>
      <t>R</t>
    </r>
  </si>
  <si>
    <r>
      <t>S</t>
    </r>
    <r>
      <rPr>
        <b/>
        <vertAlign val="subscript"/>
        <sz val="10"/>
        <rFont val="Arial"/>
        <family val="2"/>
      </rPr>
      <t>N</t>
    </r>
  </si>
  <si>
    <r>
      <t>S</t>
    </r>
    <r>
      <rPr>
        <b/>
        <vertAlign val="subscript"/>
        <sz val="10"/>
        <rFont val="Arial"/>
        <family val="2"/>
      </rPr>
      <t>R</t>
    </r>
  </si>
  <si>
    <r>
      <t>M</t>
    </r>
    <r>
      <rPr>
        <b/>
        <vertAlign val="subscript"/>
        <sz val="10"/>
        <rFont val="Arial"/>
        <family val="2"/>
      </rPr>
      <t>N</t>
    </r>
  </si>
  <si>
    <r>
      <t>M</t>
    </r>
    <r>
      <rPr>
        <b/>
        <vertAlign val="subscript"/>
        <sz val="10"/>
        <rFont val="Arial"/>
        <family val="2"/>
      </rPr>
      <t>R</t>
    </r>
  </si>
  <si>
    <t>Energia do combustível (inclui diesel, gasolina e lubrificantes)</t>
  </si>
  <si>
    <t>kg/L - Odum (1996)</t>
  </si>
  <si>
    <t>Energia da água</t>
  </si>
  <si>
    <t>J/kg (Energia livre de Gibbis) - Odum (1996)</t>
  </si>
  <si>
    <t>Tr - Odum (1996)</t>
  </si>
  <si>
    <t>Riqueza (sp.)</t>
  </si>
  <si>
    <t>EYR = Y / F</t>
  </si>
  <si>
    <t>Unidade  do fluxo</t>
  </si>
  <si>
    <t>Tabela 00 Avaliação emergética do 1o ano de restauração</t>
  </si>
  <si>
    <t>Tabela 00 Avaliação emergética do 2o ano de restauração</t>
  </si>
  <si>
    <t>Índices emergéticos</t>
  </si>
  <si>
    <t>Estrutura do solo (J/ha)</t>
  </si>
  <si>
    <t>Biomassa  verde (kgC/ha)</t>
  </si>
  <si>
    <t>PPL (kgC/ha.ano)</t>
  </si>
  <si>
    <t>Biomassa (kgC/ha.ano)</t>
  </si>
  <si>
    <t>1 Estimada pela interpolação em função da porosidade do solo</t>
  </si>
  <si>
    <r>
      <t>Percolação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(kg/ha.ano)</t>
    </r>
  </si>
  <si>
    <t>Tr - Ulgiati e Tabacco (2001)</t>
  </si>
  <si>
    <r>
      <t>Metanotrofia       (kgCH</t>
    </r>
    <r>
      <rPr>
        <b/>
        <vertAlign val="sub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/ha.ano)</t>
    </r>
  </si>
  <si>
    <t>EmUS$/ha.ano</t>
  </si>
  <si>
    <t>$</t>
  </si>
  <si>
    <t xml:space="preserve">EmUS$/ha </t>
  </si>
  <si>
    <r>
      <rPr>
        <vertAlign val="superscript"/>
        <sz val="18"/>
        <color theme="1"/>
        <rFont val="Arial"/>
        <family val="2"/>
      </rPr>
      <t>1</t>
    </r>
    <r>
      <rPr>
        <sz val="18"/>
        <color theme="1"/>
        <rFont val="Arial"/>
        <family val="2"/>
      </rPr>
      <t xml:space="preserve">Pós-graduando - PPGI-EA - ESALQ - Universidade de São Paulo - Piracicaba/São Paulo/Brasil </t>
    </r>
  </si>
  <si>
    <r>
      <rPr>
        <vertAlign val="superscript"/>
        <sz val="18"/>
        <color theme="1"/>
        <rFont val="Arial"/>
        <family val="2"/>
      </rPr>
      <t>2</t>
    </r>
    <r>
      <rPr>
        <sz val="18"/>
        <color theme="1"/>
        <rFont val="Arial"/>
        <family val="2"/>
      </rPr>
      <t xml:space="preserve">Professor - LARGEA/ESALQ - Universidade de São Paulo - Piracicaba/São Paulo/Brasil </t>
    </r>
  </si>
  <si>
    <r>
      <rPr>
        <b/>
        <vertAlign val="superscript"/>
        <sz val="18"/>
        <color theme="1"/>
        <rFont val="Arial"/>
        <family val="2"/>
      </rPr>
      <t>1</t>
    </r>
    <r>
      <rPr>
        <b/>
        <sz val="18"/>
        <color theme="1"/>
        <rFont val="Arial"/>
        <family val="2"/>
      </rPr>
      <t xml:space="preserve">Roncon, T.J.; </t>
    </r>
    <r>
      <rPr>
        <b/>
        <vertAlign val="superscript"/>
        <sz val="18"/>
        <color theme="1"/>
        <rFont val="Arial"/>
        <family val="2"/>
      </rPr>
      <t>3</t>
    </r>
    <r>
      <rPr>
        <b/>
        <sz val="18"/>
        <color theme="1"/>
        <rFont val="Arial"/>
        <family val="2"/>
      </rPr>
      <t xml:space="preserve">Ortega, E.; </t>
    </r>
    <r>
      <rPr>
        <b/>
        <vertAlign val="superscript"/>
        <sz val="18"/>
        <color theme="1"/>
        <rFont val="Arial"/>
        <family val="2"/>
      </rPr>
      <t>2</t>
    </r>
    <r>
      <rPr>
        <b/>
        <sz val="18"/>
        <color theme="1"/>
        <rFont val="Arial"/>
        <family val="2"/>
      </rPr>
      <t xml:space="preserve">Kageyama, P.Y. </t>
    </r>
  </si>
  <si>
    <r>
      <rPr>
        <vertAlign val="superscript"/>
        <sz val="18"/>
        <color theme="1"/>
        <rFont val="Arial"/>
        <family val="2"/>
      </rPr>
      <t>3</t>
    </r>
    <r>
      <rPr>
        <sz val="18"/>
        <color theme="1"/>
        <rFont val="Arial"/>
        <family val="2"/>
      </rPr>
      <t>Professor - FEA/LEIA - Universidade Estadual de Campinas - Campinas/São Paulo/Brasil</t>
    </r>
  </si>
  <si>
    <t xml:space="preserve">(Y) = I + F </t>
  </si>
  <si>
    <t>Transformidade</t>
  </si>
  <si>
    <t>(Tr) = Y / E</t>
  </si>
  <si>
    <t>Investimento emergético</t>
  </si>
  <si>
    <t>Rendimento emergético</t>
  </si>
  <si>
    <t>Sustentabilidade emergética</t>
  </si>
  <si>
    <r>
      <t>EIR = F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/ (I + F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)</t>
    </r>
  </si>
  <si>
    <r>
      <t>%R = ((I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+M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+S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) / Y) * 100</t>
    </r>
  </si>
  <si>
    <r>
      <t>ESI = I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/ (I</t>
    </r>
    <r>
      <rPr>
        <b/>
        <vertAlign val="subscript"/>
        <sz val="10"/>
        <rFont val="Arial"/>
        <family val="2"/>
      </rPr>
      <t xml:space="preserve">N </t>
    </r>
    <r>
      <rPr>
        <b/>
        <sz val="10"/>
        <rFont val="Arial"/>
        <family val="2"/>
      </rPr>
      <t>+ F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</si>
  <si>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r>
      <t>ELR = (I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+F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/ (I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+F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)</t>
    </r>
  </si>
  <si>
    <t>Afloramento de água</t>
  </si>
  <si>
    <t xml:space="preserve"> (J/ano.área)</t>
  </si>
  <si>
    <t>Energia (J/ha.ano) [26]</t>
  </si>
  <si>
    <r>
      <rPr>
        <b/>
        <sz val="16"/>
        <color theme="1"/>
        <rFont val="Calibri"/>
        <family val="2"/>
      </rPr>
      <t>≠</t>
    </r>
    <r>
      <rPr>
        <b/>
        <sz val="10"/>
        <color theme="1"/>
        <rFont val="Arial"/>
        <family val="2"/>
      </rPr>
      <t xml:space="preserve"> Porosidade      do solo (RF-C)</t>
    </r>
  </si>
  <si>
    <t>Valores utilizados na Avaliação Emergética</t>
  </si>
  <si>
    <t>Conversão de unidades utilizando o Software Leia 0-200 (Roncon, 2011)</t>
  </si>
  <si>
    <t>Controle do escoamento superficial</t>
  </si>
  <si>
    <t>1 Estimada pela interpolação da porcentagem em função do ano - o escoamento da área controle (76,9%)</t>
  </si>
  <si>
    <t>% estimada pela interpolação dos dados coalculados por Roncon (2011)</t>
  </si>
  <si>
    <t>Evapotranspiração</t>
  </si>
  <si>
    <t>Volume utilizado no projeto</t>
  </si>
  <si>
    <r>
      <t>H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 Nascente</t>
    </r>
  </si>
  <si>
    <t>Cerca</t>
  </si>
  <si>
    <t xml:space="preserve">m/ha </t>
  </si>
  <si>
    <t>Em/US$</t>
  </si>
  <si>
    <t>R$/US$</t>
  </si>
  <si>
    <t xml:space="preserve">US$/ha.ano </t>
  </si>
  <si>
    <t>US$/unidade</t>
  </si>
  <si>
    <t>US$/h</t>
  </si>
  <si>
    <t>US$/km</t>
  </si>
  <si>
    <t>US$/unid.</t>
  </si>
  <si>
    <t>US$/m</t>
  </si>
  <si>
    <t>25 Custo do metro de cerca feito - valor de mercado</t>
  </si>
  <si>
    <t xml:space="preserve">Metros de cerca construido </t>
  </si>
  <si>
    <t>J/kgC (Roncon, 2011)</t>
  </si>
  <si>
    <t>Biomassa  verde (J/ha)</t>
  </si>
  <si>
    <t>Tabela 00 Avaliação emergética da RF1,5A</t>
  </si>
  <si>
    <t>Tabela 00 Avaliação emergética da RF5A</t>
  </si>
  <si>
    <t>Tabela 00 Avaliação emergética  da RF8A</t>
  </si>
  <si>
    <t>Tabela 00 Avaliação emergética  da RF14A</t>
  </si>
  <si>
    <t>Tabela 00 Avaliação emergética da RF20A</t>
  </si>
  <si>
    <t>Tabela 00 Avaliação emergética  da RF26A</t>
  </si>
  <si>
    <r>
      <t>Entrada de CO</t>
    </r>
    <r>
      <rPr>
        <b/>
        <vertAlign val="subscript"/>
        <sz val="10"/>
        <color theme="1"/>
        <rFont val="Arial"/>
        <family val="2"/>
      </rPr>
      <t xml:space="preserve">2 </t>
    </r>
    <r>
      <rPr>
        <b/>
        <sz val="10"/>
        <color theme="1"/>
        <rFont val="Arial"/>
        <family val="2"/>
      </rPr>
      <t>(kg/ha)</t>
    </r>
  </si>
  <si>
    <t xml:space="preserve">J/ha </t>
  </si>
  <si>
    <t xml:space="preserve">US$/ha </t>
  </si>
  <si>
    <t xml:space="preserve">EmUS$/ha  </t>
  </si>
  <si>
    <t xml:space="preserve">seJ/ha </t>
  </si>
  <si>
    <t>Energia dos recursos produzidos</t>
  </si>
  <si>
    <t xml:space="preserve">Valor monetário equivalente </t>
  </si>
  <si>
    <t>RF1A</t>
  </si>
  <si>
    <t>RF2A</t>
  </si>
  <si>
    <t>Fluxos agrupados</t>
  </si>
  <si>
    <t>Em Solar      (seJ/ha)</t>
  </si>
  <si>
    <t>Em Solar (seJ/ha)</t>
  </si>
  <si>
    <t>Uni.</t>
  </si>
  <si>
    <t>Solo  (kg/ha.ano)</t>
  </si>
  <si>
    <t>SF7</t>
  </si>
  <si>
    <t>SF25</t>
  </si>
  <si>
    <t>SF75</t>
  </si>
  <si>
    <t>SF200</t>
  </si>
  <si>
    <t>[8] Dados coletados para região do Pontal do Paranapanema/SP.</t>
  </si>
  <si>
    <t>[8] Disponível em:</t>
  </si>
  <si>
    <t>Tabela 1. Solar Energy/lat.-long. Chosen [8]</t>
  </si>
  <si>
    <t>Tabela 02.Interpolação [9]</t>
  </si>
  <si>
    <t>Tabela 3 -Estimativas da Energia Solar</t>
  </si>
  <si>
    <t>Tabela 07. Energia  investida por área de estudo</t>
  </si>
  <si>
    <t xml:space="preserve">J/ano na área da crosta terrestre (a)  </t>
  </si>
  <si>
    <t xml:space="preserve">Área da crostra terrestre em ha (b) </t>
  </si>
  <si>
    <t>Tabela 11 - Cálculo de biomassa e carbono total</t>
  </si>
  <si>
    <t>Tabela 12 - Estimativa da entrada de CO2 nas áreas</t>
  </si>
  <si>
    <r>
      <t>Razão C/O do CO</t>
    </r>
    <r>
      <rPr>
        <b/>
        <vertAlign val="subscript"/>
        <sz val="10"/>
        <rFont val="Arial"/>
        <family val="2"/>
      </rPr>
      <t>2</t>
    </r>
  </si>
  <si>
    <t>Tabela 13 - Estimativa da metanotrofia</t>
  </si>
  <si>
    <t>Tabela 14 - Deposição e nutrientes da serapilheira e valores totais do estoque de N no solo</t>
  </si>
  <si>
    <t>Tabela 15 - Entrada de nutrientes do solo profundo</t>
  </si>
  <si>
    <t>Tabela 16 - Entrada total de nutrientes do solo profundo</t>
  </si>
  <si>
    <t>Tabela 17 - Dados gerais sobre as atividades de restauração</t>
  </si>
  <si>
    <t>Tabela 18 - Estimativa da utilização do trator</t>
  </si>
  <si>
    <t>Tabela 19 - Estimativa da utilização do veículo</t>
  </si>
  <si>
    <t>Tabela 20 - Estimativa dos serviços</t>
  </si>
  <si>
    <t>Tabela 21 -  Dados utilizados para conversão da energia utilizada</t>
  </si>
  <si>
    <t>Tabela 23 -  Dados de entrada para as operações de restauração</t>
  </si>
  <si>
    <t>Tabela 22 -  Dados utilizados para quantificar os insumos utilizados</t>
  </si>
  <si>
    <t>Emdólar</t>
  </si>
  <si>
    <t>25 - Diferença entre os estoques de nutrientes solúveis no solo das áreas controle e das áreas em processo de restauração</t>
  </si>
  <si>
    <t>27 - Estoque ne trutrientes restaurados no solo</t>
  </si>
  <si>
    <t>28 - Estoque de biomassa arbórea restaurado</t>
  </si>
  <si>
    <t>29 - Estoque de espécies - novas espécies e regenerantes</t>
  </si>
  <si>
    <t xml:space="preserve">30 - Estrutura do solo 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</si>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</sst>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E+00"/>
    <numFmt numFmtId="166" formatCode="#,##0.0"/>
    <numFmt numFmtId="167" formatCode="0.00000"/>
    <numFmt numFmtId="168" formatCode="0.0000"/>
    <numFmt numFmtId="169" formatCode="[$$-409]#,##0.00"/>
    <numFmt numFmtId="170" formatCode="_-* #,##0.000_-;\-* #,##0.000_-;_-* &quot;-&quot;??_-;_-@_-"/>
    <numFmt numFmtId="171" formatCode="_-* #,##0.0000_-;\-* #,##0.0000_-;_-* &quot;-&quot;??_-;_-@_-"/>
    <numFmt numFmtId="172" formatCode="_-* #,##0_-;\-* #,##0_-;_-* &quot;-&quot;??_-;_-@_-"/>
    <numFmt numFmtId="173" formatCode="_-* #,##0.0000000000_-;\-* #,##0.0000000000_-;_-* &quot;-&quot;??_-;_-@_-"/>
    <numFmt numFmtId="174" formatCode="0.000"/>
    <numFmt numFmtId="175" formatCode="[$$-540A]#,##0.00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indexed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vertAlign val="subscript"/>
      <sz val="10"/>
      <color theme="1"/>
      <name val="Arial"/>
      <family val="2"/>
    </font>
    <font>
      <sz val="22"/>
      <color theme="1"/>
      <name val="Arial"/>
      <family val="2"/>
    </font>
    <font>
      <b/>
      <sz val="10"/>
      <color rgb="FF00B050"/>
      <name val="Arial"/>
      <family val="2"/>
    </font>
    <font>
      <sz val="28"/>
      <color theme="1"/>
      <name val="Arial"/>
      <family val="2"/>
    </font>
    <font>
      <u/>
      <sz val="18"/>
      <color theme="1"/>
      <name val="Arial"/>
      <family val="2"/>
    </font>
    <font>
      <sz val="10"/>
      <color theme="0"/>
      <name val="Arial"/>
      <family val="2"/>
    </font>
    <font>
      <sz val="72"/>
      <color theme="1"/>
      <name val="Calibri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sz val="18"/>
      <color theme="1"/>
      <name val="Arial"/>
      <family val="2"/>
    </font>
    <font>
      <vertAlign val="superscript"/>
      <sz val="18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B050"/>
      <name val="Arial"/>
      <family val="2"/>
    </font>
    <font>
      <b/>
      <sz val="18"/>
      <color theme="1"/>
      <name val="Arial"/>
      <family val="2"/>
    </font>
    <font>
      <b/>
      <vertAlign val="superscript"/>
      <sz val="18"/>
      <color theme="1"/>
      <name val="Arial"/>
      <family val="2"/>
    </font>
    <font>
      <b/>
      <sz val="16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 tint="-0.14999847407452621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656">
    <xf numFmtId="0" fontId="0" fillId="0" borderId="0" xfId="0"/>
    <xf numFmtId="0" fontId="1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top"/>
    </xf>
    <xf numFmtId="0" fontId="23" fillId="7" borderId="0" xfId="0" applyFont="1" applyFill="1" applyAlignment="1">
      <alignment horizontal="center" vertical="top"/>
    </xf>
    <xf numFmtId="0" fontId="15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vertical="center"/>
    </xf>
    <xf numFmtId="0" fontId="20" fillId="7" borderId="0" xfId="0" applyFont="1" applyFill="1" applyAlignment="1">
      <alignment vertical="top"/>
    </xf>
    <xf numFmtId="165" fontId="3" fillId="4" borderId="0" xfId="0" applyNumberFormat="1" applyFont="1" applyFill="1" applyBorder="1" applyAlignment="1">
      <alignment horizontal="right" vertical="center"/>
    </xf>
    <xf numFmtId="165" fontId="3" fillId="4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1" fillId="0" borderId="0" xfId="3" applyAlignment="1">
      <alignment horizontal="left" vertical="center"/>
    </xf>
    <xf numFmtId="0" fontId="30" fillId="9" borderId="0" xfId="0" applyFont="1" applyFill="1" applyBorder="1" applyAlignment="1">
      <alignment horizontal="right" vertical="center" wrapText="1"/>
    </xf>
    <xf numFmtId="0" fontId="32" fillId="9" borderId="2" xfId="0" applyFont="1" applyFill="1" applyBorder="1" applyAlignment="1">
      <alignment horizontal="right" vertical="center" wrapText="1"/>
    </xf>
    <xf numFmtId="0" fontId="30" fillId="9" borderId="3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30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32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1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2" fontId="28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horizontal="right" vertical="center" wrapText="1"/>
    </xf>
    <xf numFmtId="43" fontId="3" fillId="0" borderId="0" xfId="2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11" fontId="6" fillId="0" borderId="0" xfId="0" applyNumberFormat="1" applyFont="1" applyFill="1" applyBorder="1" applyAlignment="1">
      <alignment horizontal="right" vertical="center"/>
    </xf>
    <xf numFmtId="11" fontId="6" fillId="0" borderId="1" xfId="0" applyNumberFormat="1" applyFont="1" applyFill="1" applyBorder="1" applyAlignment="1">
      <alignment horizontal="right" vertical="center"/>
    </xf>
    <xf numFmtId="11" fontId="6" fillId="4" borderId="0" xfId="0" applyNumberFormat="1" applyFont="1" applyFill="1" applyBorder="1" applyAlignment="1">
      <alignment horizontal="right" vertical="center"/>
    </xf>
    <xf numFmtId="11" fontId="6" fillId="4" borderId="1" xfId="0" applyNumberFormat="1" applyFont="1" applyFill="1" applyBorder="1" applyAlignment="1">
      <alignment horizontal="right" vertical="center"/>
    </xf>
    <xf numFmtId="11" fontId="3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3" fontId="3" fillId="0" borderId="2" xfId="2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1" fontId="6" fillId="4" borderId="3" xfId="0" applyNumberFormat="1" applyFont="1" applyFill="1" applyBorder="1" applyAlignment="1">
      <alignment horizontal="right" vertical="center"/>
    </xf>
    <xf numFmtId="2" fontId="3" fillId="0" borderId="2" xfId="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1" fontId="3" fillId="2" borderId="0" xfId="0" applyNumberFormat="1" applyFont="1" applyFill="1" applyBorder="1" applyAlignment="1">
      <alignment horizontal="right" vertical="center"/>
    </xf>
    <xf numFmtId="11" fontId="3" fillId="2" borderId="1" xfId="0" applyNumberFormat="1" applyFont="1" applyFill="1" applyBorder="1" applyAlignment="1">
      <alignment horizontal="right" vertical="center"/>
    </xf>
    <xf numFmtId="43" fontId="3" fillId="0" borderId="0" xfId="2" applyFont="1" applyFill="1" applyBorder="1" applyAlignment="1">
      <alignment horizontal="right" vertical="center"/>
    </xf>
    <xf numFmtId="43" fontId="3" fillId="0" borderId="3" xfId="2" applyFont="1" applyFill="1" applyBorder="1" applyAlignment="1">
      <alignment horizontal="right" vertical="center"/>
    </xf>
    <xf numFmtId="43" fontId="3" fillId="0" borderId="1" xfId="2" applyFont="1" applyFill="1" applyBorder="1" applyAlignment="1">
      <alignment horizontal="right" vertical="center"/>
    </xf>
    <xf numFmtId="43" fontId="6" fillId="0" borderId="3" xfId="2" applyFont="1" applyFill="1" applyBorder="1" applyAlignment="1">
      <alignment horizontal="right" vertical="center"/>
    </xf>
    <xf numFmtId="43" fontId="6" fillId="0" borderId="0" xfId="2" applyFont="1" applyFill="1" applyBorder="1" applyAlignment="1">
      <alignment horizontal="right" vertical="center"/>
    </xf>
    <xf numFmtId="43" fontId="6" fillId="0" borderId="1" xfId="2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2" fontId="1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28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2" fontId="29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3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2" fontId="29" fillId="0" borderId="1" xfId="0" applyNumberFormat="1" applyFont="1" applyFill="1" applyBorder="1" applyAlignment="1">
      <alignment horizontal="right" vertical="center"/>
    </xf>
    <xf numFmtId="2" fontId="29" fillId="0" borderId="0" xfId="0" applyNumberFormat="1" applyFont="1" applyFill="1" applyBorder="1" applyAlignment="1">
      <alignment horizontal="right" vertical="center"/>
    </xf>
    <xf numFmtId="2" fontId="28" fillId="0" borderId="0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 wrapText="1"/>
    </xf>
    <xf numFmtId="43" fontId="1" fillId="0" borderId="0" xfId="2" applyFont="1" applyFill="1" applyBorder="1" applyAlignment="1">
      <alignment horizontal="right" vertical="center"/>
    </xf>
    <xf numFmtId="43" fontId="1" fillId="0" borderId="0" xfId="2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 wrapText="1"/>
    </xf>
    <xf numFmtId="43" fontId="1" fillId="0" borderId="0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167" fontId="1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3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165" fontId="4" fillId="0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43" fontId="4" fillId="0" borderId="0" xfId="0" applyNumberFormat="1" applyFont="1" applyFill="1"/>
    <xf numFmtId="0" fontId="6" fillId="0" borderId="2" xfId="1" applyFont="1" applyFill="1" applyBorder="1" applyAlignment="1">
      <alignment horizontal="center" vertical="center" wrapText="1"/>
    </xf>
    <xf numFmtId="0" fontId="6" fillId="0" borderId="0" xfId="0" applyFont="1" applyFill="1"/>
    <xf numFmtId="2" fontId="6" fillId="0" borderId="2" xfId="1" applyNumberFormat="1" applyFont="1" applyFill="1" applyBorder="1" applyAlignment="1">
      <alignment horizontal="center" vertical="center" wrapText="1"/>
    </xf>
    <xf numFmtId="43" fontId="1" fillId="4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2" fontId="6" fillId="0" borderId="2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3" fontId="1" fillId="0" borderId="2" xfId="2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43" fontId="1" fillId="0" borderId="2" xfId="2" applyFont="1" applyFill="1" applyBorder="1" applyAlignment="1">
      <alignment horizontal="right" vertical="center" wrapText="1"/>
    </xf>
    <xf numFmtId="11" fontId="3" fillId="4" borderId="2" xfId="2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3" fontId="1" fillId="0" borderId="0" xfId="2" applyFont="1" applyFill="1" applyBorder="1" applyAlignment="1">
      <alignment horizontal="right" vertical="center"/>
    </xf>
    <xf numFmtId="43" fontId="1" fillId="0" borderId="1" xfId="2" applyFont="1" applyFill="1" applyBorder="1" applyAlignment="1">
      <alignment horizontal="right" vertical="center"/>
    </xf>
    <xf numFmtId="43" fontId="1" fillId="0" borderId="1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1" fontId="1" fillId="0" borderId="0" xfId="2" applyNumberFormat="1" applyFont="1" applyFill="1" applyBorder="1" applyAlignment="1">
      <alignment horizontal="right" vertical="center"/>
    </xf>
    <xf numFmtId="11" fontId="1" fillId="0" borderId="1" xfId="2" applyNumberFormat="1" applyFont="1" applyFill="1" applyBorder="1" applyAlignment="1">
      <alignment horizontal="right" vertical="center"/>
    </xf>
    <xf numFmtId="11" fontId="1" fillId="4" borderId="1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1" fillId="0" borderId="0" xfId="3" applyAlignment="1">
      <alignment vertical="center"/>
    </xf>
    <xf numFmtId="11" fontId="1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168" fontId="6" fillId="0" borderId="3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Continuous" vertical="center"/>
    </xf>
    <xf numFmtId="0" fontId="5" fillId="0" borderId="0" xfId="0" applyFont="1" applyFill="1" applyBorder="1"/>
    <xf numFmtId="0" fontId="3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49" fontId="4" fillId="6" borderId="0" xfId="0" applyNumberFormat="1" applyFont="1" applyFill="1" applyBorder="1" applyAlignment="1">
      <alignment horizontal="center" vertical="center"/>
    </xf>
    <xf numFmtId="49" fontId="4" fillId="10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1" fontId="1" fillId="6" borderId="3" xfId="0" applyNumberFormat="1" applyFont="1" applyFill="1" applyBorder="1" applyAlignment="1">
      <alignment vertical="center"/>
    </xf>
    <xf numFmtId="164" fontId="4" fillId="6" borderId="3" xfId="0" applyNumberFormat="1" applyFont="1" applyFill="1" applyBorder="1" applyAlignment="1">
      <alignment vertical="center"/>
    </xf>
    <xf numFmtId="1" fontId="1" fillId="6" borderId="0" xfId="0" applyNumberFormat="1" applyFont="1" applyFill="1" applyBorder="1" applyAlignment="1">
      <alignment vertical="center"/>
    </xf>
    <xf numFmtId="164" fontId="29" fillId="6" borderId="0" xfId="0" applyNumberFormat="1" applyFont="1" applyFill="1" applyBorder="1" applyAlignment="1">
      <alignment vertical="center"/>
    </xf>
    <xf numFmtId="164" fontId="4" fillId="6" borderId="0" xfId="0" applyNumberFormat="1" applyFont="1" applyFill="1" applyBorder="1" applyAlignment="1">
      <alignment vertical="center"/>
    </xf>
    <xf numFmtId="1" fontId="1" fillId="6" borderId="1" xfId="0" applyNumberFormat="1" applyFont="1" applyFill="1" applyBorder="1" applyAlignment="1">
      <alignment vertical="center"/>
    </xf>
    <xf numFmtId="164" fontId="29" fillId="6" borderId="1" xfId="0" applyNumberFormat="1" applyFont="1" applyFill="1" applyBorder="1" applyAlignment="1">
      <alignment vertical="center"/>
    </xf>
    <xf numFmtId="1" fontId="4" fillId="6" borderId="0" xfId="0" applyNumberFormat="1" applyFont="1" applyFill="1" applyBorder="1" applyAlignment="1">
      <alignment vertical="center"/>
    </xf>
    <xf numFmtId="1" fontId="4" fillId="6" borderId="0" xfId="0" applyNumberFormat="1" applyFont="1" applyFill="1" applyBorder="1" applyAlignment="1">
      <alignment horizontal="right" vertical="center"/>
    </xf>
    <xf numFmtId="2" fontId="29" fillId="6" borderId="0" xfId="0" applyNumberFormat="1" applyFont="1" applyFill="1" applyBorder="1" applyAlignment="1">
      <alignment horizontal="right" vertical="center"/>
    </xf>
    <xf numFmtId="2" fontId="29" fillId="6" borderId="0" xfId="0" applyNumberFormat="1" applyFont="1" applyFill="1" applyAlignment="1">
      <alignment horizontal="right" vertical="center"/>
    </xf>
    <xf numFmtId="2" fontId="4" fillId="6" borderId="0" xfId="0" applyNumberFormat="1" applyFont="1" applyFill="1" applyBorder="1" applyAlignment="1">
      <alignment horizontal="right" vertical="center"/>
    </xf>
    <xf numFmtId="43" fontId="29" fillId="6" borderId="1" xfId="2" applyFont="1" applyFill="1" applyBorder="1" applyAlignment="1">
      <alignment horizontal="right" vertical="center"/>
    </xf>
    <xf numFmtId="2" fontId="6" fillId="6" borderId="3" xfId="2" applyNumberFormat="1" applyFont="1" applyFill="1" applyBorder="1" applyAlignment="1">
      <alignment horizontal="right" vertical="center"/>
    </xf>
    <xf numFmtId="2" fontId="6" fillId="6" borderId="0" xfId="2" applyNumberFormat="1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 wrapText="1"/>
    </xf>
    <xf numFmtId="2" fontId="6" fillId="6" borderId="1" xfId="2" applyNumberFormat="1" applyFont="1" applyFill="1" applyBorder="1" applyAlignment="1">
      <alignment horizontal="right" vertical="center"/>
    </xf>
    <xf numFmtId="11" fontId="28" fillId="6" borderId="1" xfId="0" applyNumberFormat="1" applyFont="1" applyFill="1" applyBorder="1" applyAlignment="1">
      <alignment horizontal="right" vertical="center"/>
    </xf>
    <xf numFmtId="2" fontId="28" fillId="6" borderId="3" xfId="0" applyNumberFormat="1" applyFont="1" applyFill="1" applyBorder="1" applyAlignment="1">
      <alignment horizontal="right" vertical="center"/>
    </xf>
    <xf numFmtId="2" fontId="28" fillId="6" borderId="0" xfId="0" applyNumberFormat="1" applyFont="1" applyFill="1" applyBorder="1" applyAlignment="1">
      <alignment horizontal="right" vertical="center"/>
    </xf>
    <xf numFmtId="11" fontId="6" fillId="6" borderId="3" xfId="0" applyNumberFormat="1" applyFont="1" applyFill="1" applyBorder="1" applyAlignment="1">
      <alignment horizontal="right" vertical="center"/>
    </xf>
    <xf numFmtId="11" fontId="6" fillId="6" borderId="0" xfId="0" applyNumberFormat="1" applyFont="1" applyFill="1" applyBorder="1" applyAlignment="1">
      <alignment horizontal="right" vertical="center"/>
    </xf>
    <xf numFmtId="11" fontId="6" fillId="6" borderId="1" xfId="0" applyNumberFormat="1" applyFont="1" applyFill="1" applyBorder="1" applyAlignment="1">
      <alignment horizontal="right" vertical="center"/>
    </xf>
    <xf numFmtId="0" fontId="28" fillId="6" borderId="0" xfId="0" applyFont="1" applyFill="1" applyBorder="1" applyAlignment="1">
      <alignment horizontal="right" vertical="center"/>
    </xf>
    <xf numFmtId="168" fontId="28" fillId="6" borderId="0" xfId="0" applyNumberFormat="1" applyFont="1" applyFill="1" applyBorder="1" applyAlignment="1">
      <alignment horizontal="right" vertical="center"/>
    </xf>
    <xf numFmtId="168" fontId="6" fillId="6" borderId="0" xfId="0" applyNumberFormat="1" applyFont="1" applyFill="1" applyBorder="1" applyAlignment="1">
      <alignment horizontal="right" vertical="center"/>
    </xf>
    <xf numFmtId="0" fontId="28" fillId="6" borderId="1" xfId="0" applyFont="1" applyFill="1" applyBorder="1" applyAlignment="1">
      <alignment horizontal="right" vertical="center"/>
    </xf>
    <xf numFmtId="168" fontId="28" fillId="6" borderId="1" xfId="0" applyNumberFormat="1" applyFont="1" applyFill="1" applyBorder="1" applyAlignment="1">
      <alignment horizontal="right" vertical="center"/>
    </xf>
    <xf numFmtId="0" fontId="28" fillId="6" borderId="3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right" vertical="center"/>
    </xf>
    <xf numFmtId="2" fontId="28" fillId="6" borderId="0" xfId="0" applyNumberFormat="1" applyFont="1" applyFill="1" applyBorder="1" applyAlignment="1">
      <alignment vertical="center"/>
    </xf>
    <xf numFmtId="2" fontId="3" fillId="6" borderId="0" xfId="0" applyNumberFormat="1" applyFont="1" applyFill="1" applyBorder="1" applyAlignment="1">
      <alignment vertical="center"/>
    </xf>
    <xf numFmtId="2" fontId="28" fillId="6" borderId="1" xfId="0" applyNumberFormat="1" applyFont="1" applyFill="1" applyBorder="1" applyAlignment="1">
      <alignment vertical="center"/>
    </xf>
    <xf numFmtId="171" fontId="29" fillId="6" borderId="2" xfId="2" applyNumberFormat="1" applyFont="1" applyFill="1" applyBorder="1" applyAlignment="1">
      <alignment horizontal="right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3" fillId="0" borderId="0" xfId="0" applyFont="1"/>
    <xf numFmtId="43" fontId="1" fillId="0" borderId="0" xfId="0" applyNumberFormat="1" applyFont="1"/>
    <xf numFmtId="0" fontId="3" fillId="6" borderId="3" xfId="0" applyFont="1" applyFill="1" applyBorder="1" applyAlignment="1">
      <alignment horizontal="right" vertical="center"/>
    </xf>
    <xf numFmtId="0" fontId="1" fillId="6" borderId="3" xfId="0" applyFont="1" applyFill="1" applyBorder="1" applyAlignment="1">
      <alignment horizontal="right" vertical="center"/>
    </xf>
    <xf numFmtId="49" fontId="4" fillId="6" borderId="3" xfId="0" applyNumberFormat="1" applyFont="1" applyFill="1" applyBorder="1" applyAlignment="1">
      <alignment horizontal="center" vertical="center"/>
    </xf>
    <xf numFmtId="43" fontId="1" fillId="0" borderId="0" xfId="0" applyNumberFormat="1" applyFont="1" applyBorder="1"/>
    <xf numFmtId="0" fontId="3" fillId="0" borderId="2" xfId="0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right" vertical="center"/>
    </xf>
    <xf numFmtId="169" fontId="4" fillId="0" borderId="1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right" vertical="center"/>
    </xf>
    <xf numFmtId="43" fontId="1" fillId="0" borderId="1" xfId="2" applyFont="1" applyFill="1" applyBorder="1" applyAlignment="1">
      <alignment vertical="center"/>
    </xf>
    <xf numFmtId="43" fontId="1" fillId="0" borderId="3" xfId="2" applyFont="1" applyFill="1" applyBorder="1" applyAlignment="1">
      <alignment vertical="center"/>
    </xf>
    <xf numFmtId="43" fontId="1" fillId="0" borderId="0" xfId="2" applyFont="1" applyFill="1" applyBorder="1" applyAlignment="1">
      <alignment vertical="center"/>
    </xf>
    <xf numFmtId="165" fontId="1" fillId="0" borderId="0" xfId="2" applyNumberFormat="1" applyFont="1" applyFill="1" applyBorder="1" applyAlignment="1">
      <alignment horizontal="right" vertical="center"/>
    </xf>
    <xf numFmtId="165" fontId="1" fillId="0" borderId="1" xfId="2" applyNumberFormat="1" applyFont="1" applyFill="1" applyBorder="1" applyAlignment="1">
      <alignment horizontal="right" vertical="center"/>
    </xf>
    <xf numFmtId="11" fontId="1" fillId="0" borderId="0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1" fontId="1" fillId="0" borderId="3" xfId="0" applyNumberFormat="1" applyFont="1" applyFill="1" applyBorder="1" applyAlignment="1">
      <alignment vertical="center"/>
    </xf>
    <xf numFmtId="11" fontId="29" fillId="6" borderId="3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11" fontId="1" fillId="0" borderId="0" xfId="0" applyNumberFormat="1" applyFont="1" applyFill="1" applyBorder="1" applyAlignment="1">
      <alignment horizontal="right" vertical="center"/>
    </xf>
    <xf numFmtId="11" fontId="29" fillId="6" borderId="2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165" fontId="1" fillId="0" borderId="2" xfId="2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right" vertical="center"/>
    </xf>
    <xf numFmtId="43" fontId="4" fillId="0" borderId="0" xfId="2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43" fontId="4" fillId="0" borderId="1" xfId="2" applyFont="1" applyFill="1" applyBorder="1" applyAlignment="1">
      <alignment vertical="center"/>
    </xf>
    <xf numFmtId="11" fontId="1" fillId="0" borderId="0" xfId="0" applyNumberFormat="1" applyFont="1"/>
    <xf numFmtId="11" fontId="29" fillId="6" borderId="0" xfId="0" applyNumberFormat="1" applyFont="1" applyFill="1" applyBorder="1"/>
    <xf numFmtId="11" fontId="29" fillId="6" borderId="1" xfId="0" applyNumberFormat="1" applyFont="1" applyFill="1" applyBorder="1"/>
    <xf numFmtId="165" fontId="29" fillId="6" borderId="0" xfId="0" applyNumberFormat="1" applyFont="1" applyFill="1" applyBorder="1"/>
    <xf numFmtId="165" fontId="29" fillId="6" borderId="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1" fontId="29" fillId="6" borderId="0" xfId="0" applyNumberFormat="1" applyFont="1" applyFill="1"/>
    <xf numFmtId="0" fontId="3" fillId="0" borderId="2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165" fontId="29" fillId="6" borderId="3" xfId="0" applyNumberFormat="1" applyFont="1" applyFill="1" applyBorder="1" applyAlignment="1">
      <alignment horizontal="center" vertical="center"/>
    </xf>
    <xf numFmtId="165" fontId="29" fillId="6" borderId="0" xfId="0" applyNumberFormat="1" applyFont="1" applyFill="1" applyBorder="1" applyAlignment="1">
      <alignment horizontal="center" vertical="center"/>
    </xf>
    <xf numFmtId="165" fontId="29" fillId="6" borderId="1" xfId="0" applyNumberFormat="1" applyFont="1" applyFill="1" applyBorder="1" applyAlignment="1">
      <alignment horizontal="center" vertical="center"/>
    </xf>
    <xf numFmtId="11" fontId="29" fillId="6" borderId="3" xfId="0" applyNumberFormat="1" applyFont="1" applyFill="1" applyBorder="1"/>
    <xf numFmtId="43" fontId="29" fillId="6" borderId="3" xfId="0" applyNumberFormat="1" applyFont="1" applyFill="1" applyBorder="1"/>
    <xf numFmtId="43" fontId="29" fillId="6" borderId="0" xfId="0" applyNumberFormat="1" applyFont="1" applyFill="1" applyBorder="1"/>
    <xf numFmtId="0" fontId="3" fillId="0" borderId="3" xfId="0" applyFont="1" applyBorder="1" applyAlignment="1">
      <alignment horizontal="right" vertical="center" wrapText="1"/>
    </xf>
    <xf numFmtId="43" fontId="29" fillId="6" borderId="1" xfId="2" applyFont="1" applyFill="1" applyBorder="1"/>
    <xf numFmtId="43" fontId="36" fillId="6" borderId="0" xfId="2" applyFont="1" applyFill="1" applyBorder="1" applyAlignment="1">
      <alignment horizontal="right" vertical="center" wrapText="1"/>
    </xf>
    <xf numFmtId="43" fontId="19" fillId="6" borderId="0" xfId="2" applyFont="1" applyFill="1" applyBorder="1" applyAlignment="1">
      <alignment horizontal="right" vertical="center"/>
    </xf>
    <xf numFmtId="43" fontId="19" fillId="6" borderId="1" xfId="2" applyFont="1" applyFill="1" applyBorder="1" applyAlignment="1">
      <alignment horizontal="right" vertical="center"/>
    </xf>
    <xf numFmtId="43" fontId="19" fillId="6" borderId="0" xfId="2" applyFont="1" applyFill="1" applyBorder="1" applyAlignment="1">
      <alignment horizontal="right" vertical="center" wrapText="1"/>
    </xf>
    <xf numFmtId="43" fontId="19" fillId="6" borderId="0" xfId="2" applyFont="1" applyFill="1"/>
    <xf numFmtId="43" fontId="19" fillId="6" borderId="0" xfId="2" applyFont="1" applyFill="1" applyBorder="1"/>
    <xf numFmtId="43" fontId="19" fillId="6" borderId="1" xfId="2" applyFont="1" applyFill="1" applyBorder="1"/>
    <xf numFmtId="11" fontId="1" fillId="0" borderId="0" xfId="0" applyNumberFormat="1" applyFont="1" applyAlignment="1">
      <alignment vertical="center"/>
    </xf>
    <xf numFmtId="0" fontId="1" fillId="0" borderId="0" xfId="0" applyFont="1" applyAlignment="1"/>
    <xf numFmtId="11" fontId="29" fillId="6" borderId="2" xfId="2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43" fontId="6" fillId="0" borderId="0" xfId="0" applyNumberFormat="1" applyFont="1" applyFill="1" applyAlignment="1">
      <alignment vertical="center"/>
    </xf>
    <xf numFmtId="43" fontId="3" fillId="4" borderId="0" xfId="0" applyNumberFormat="1" applyFont="1" applyFill="1" applyAlignment="1">
      <alignment vertical="center"/>
    </xf>
    <xf numFmtId="43" fontId="3" fillId="0" borderId="0" xfId="0" applyNumberFormat="1" applyFont="1" applyFill="1" applyBorder="1" applyAlignment="1">
      <alignment horizontal="center" vertical="center"/>
    </xf>
    <xf numFmtId="43" fontId="3" fillId="0" borderId="1" xfId="2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3" fillId="4" borderId="1" xfId="0" applyNumberFormat="1" applyFont="1" applyFill="1" applyBorder="1" applyAlignment="1">
      <alignment vertical="center"/>
    </xf>
    <xf numFmtId="43" fontId="3" fillId="4" borderId="0" xfId="0" applyNumberFormat="1" applyFont="1" applyFill="1" applyBorder="1" applyAlignment="1">
      <alignment horizontal="center" vertical="center"/>
    </xf>
    <xf numFmtId="43" fontId="3" fillId="4" borderId="1" xfId="0" applyNumberFormat="1" applyFont="1" applyFill="1" applyBorder="1" applyAlignment="1">
      <alignment horizontal="center" vertical="center"/>
    </xf>
    <xf numFmtId="171" fontId="6" fillId="0" borderId="0" xfId="2" applyNumberFormat="1" applyFont="1" applyFill="1" applyBorder="1"/>
    <xf numFmtId="171" fontId="6" fillId="0" borderId="1" xfId="2" applyNumberFormat="1" applyFont="1" applyFill="1" applyBorder="1"/>
    <xf numFmtId="2" fontId="6" fillId="0" borderId="0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vertical="center"/>
    </xf>
    <xf numFmtId="1" fontId="3" fillId="6" borderId="0" xfId="0" applyNumberFormat="1" applyFont="1" applyFill="1" applyBorder="1" applyAlignment="1">
      <alignment vertical="center"/>
    </xf>
    <xf numFmtId="1" fontId="6" fillId="6" borderId="0" xfId="0" applyNumberFormat="1" applyFont="1" applyFill="1" applyBorder="1" applyAlignment="1">
      <alignment vertical="center"/>
    </xf>
    <xf numFmtId="1" fontId="6" fillId="6" borderId="0" xfId="0" applyNumberFormat="1" applyFont="1" applyFill="1" applyBorder="1" applyAlignment="1">
      <alignment horizontal="right" vertical="center"/>
    </xf>
    <xf numFmtId="1" fontId="6" fillId="6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11" fontId="3" fillId="4" borderId="3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11" fontId="3" fillId="4" borderId="0" xfId="0" applyNumberFormat="1" applyFont="1" applyFill="1" applyBorder="1" applyAlignment="1">
      <alignment horizontal="right" vertical="center"/>
    </xf>
    <xf numFmtId="11" fontId="3" fillId="4" borderId="1" xfId="0" applyNumberFormat="1" applyFont="1" applyFill="1" applyBorder="1" applyAlignment="1">
      <alignment horizontal="right" vertical="center"/>
    </xf>
    <xf numFmtId="11" fontId="3" fillId="0" borderId="1" xfId="2" applyNumberFormat="1" applyFont="1" applyFill="1" applyBorder="1" applyAlignment="1">
      <alignment vertical="center"/>
    </xf>
    <xf numFmtId="43" fontId="3" fillId="0" borderId="0" xfId="2" applyFont="1" applyFill="1" applyBorder="1" applyAlignment="1">
      <alignment horizontal="right" vertical="center" wrapText="1"/>
    </xf>
    <xf numFmtId="43" fontId="3" fillId="0" borderId="3" xfId="2" applyFont="1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11" fontId="3" fillId="0" borderId="1" xfId="2" applyNumberFormat="1" applyFont="1" applyFill="1" applyBorder="1" applyAlignment="1">
      <alignment horizontal="right" vertical="center"/>
    </xf>
    <xf numFmtId="11" fontId="3" fillId="0" borderId="0" xfId="2" applyNumberFormat="1" applyFont="1" applyFill="1" applyBorder="1" applyAlignment="1">
      <alignment vertical="center"/>
    </xf>
    <xf numFmtId="11" fontId="3" fillId="0" borderId="0" xfId="2" applyNumberFormat="1" applyFont="1" applyFill="1" applyBorder="1" applyAlignment="1">
      <alignment horizontal="right" vertical="center"/>
    </xf>
    <xf numFmtId="165" fontId="3" fillId="6" borderId="3" xfId="0" applyNumberFormat="1" applyFont="1" applyFill="1" applyBorder="1"/>
    <xf numFmtId="165" fontId="3" fillId="6" borderId="0" xfId="0" applyNumberFormat="1" applyFont="1" applyFill="1" applyBorder="1"/>
    <xf numFmtId="43" fontId="3" fillId="0" borderId="3" xfId="2" applyFont="1" applyBorder="1"/>
    <xf numFmtId="43" fontId="3" fillId="0" borderId="0" xfId="2" applyFont="1" applyBorder="1"/>
    <xf numFmtId="43" fontId="3" fillId="0" borderId="1" xfId="2" applyFont="1" applyBorder="1"/>
    <xf numFmtId="43" fontId="3" fillId="0" borderId="3" xfId="0" applyNumberFormat="1" applyFont="1" applyBorder="1"/>
    <xf numFmtId="43" fontId="3" fillId="0" borderId="0" xfId="0" applyNumberFormat="1" applyFont="1" applyBorder="1"/>
    <xf numFmtId="43" fontId="3" fillId="0" borderId="0" xfId="0" applyNumberFormat="1" applyFont="1"/>
    <xf numFmtId="43" fontId="3" fillId="0" borderId="1" xfId="0" applyNumberFormat="1" applyFont="1" applyBorder="1"/>
    <xf numFmtId="11" fontId="3" fillId="6" borderId="0" xfId="0" applyNumberFormat="1" applyFont="1" applyFill="1"/>
    <xf numFmtId="11" fontId="3" fillId="0" borderId="0" xfId="0" applyNumberFormat="1" applyFont="1"/>
    <xf numFmtId="11" fontId="3" fillId="0" borderId="1" xfId="0" applyNumberFormat="1" applyFont="1" applyBorder="1"/>
    <xf numFmtId="43" fontId="3" fillId="0" borderId="0" xfId="2" applyFont="1"/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vertical="center"/>
    </xf>
    <xf numFmtId="43" fontId="4" fillId="0" borderId="0" xfId="2" applyFont="1" applyFill="1" applyBorder="1" applyAlignment="1">
      <alignment horizontal="center" vertical="center"/>
    </xf>
    <xf numFmtId="43" fontId="19" fillId="6" borderId="3" xfId="0" applyNumberFormat="1" applyFont="1" applyFill="1" applyBorder="1"/>
    <xf numFmtId="43" fontId="19" fillId="6" borderId="0" xfId="0" applyNumberFormat="1" applyFont="1" applyFill="1" applyBorder="1"/>
    <xf numFmtId="43" fontId="19" fillId="6" borderId="0" xfId="0" applyNumberFormat="1" applyFont="1" applyFill="1"/>
    <xf numFmtId="43" fontId="19" fillId="6" borderId="1" xfId="0" applyNumberFormat="1" applyFont="1" applyFill="1" applyBorder="1"/>
    <xf numFmtId="2" fontId="19" fillId="6" borderId="3" xfId="0" applyNumberFormat="1" applyFont="1" applyFill="1" applyBorder="1" applyAlignment="1">
      <alignment horizontal="center" vertical="center"/>
    </xf>
    <xf numFmtId="2" fontId="19" fillId="6" borderId="0" xfId="0" applyNumberFormat="1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/>
    </xf>
    <xf numFmtId="43" fontId="19" fillId="10" borderId="0" xfId="0" applyNumberFormat="1" applyFont="1" applyFill="1" applyBorder="1" applyAlignment="1">
      <alignment horizontal="right" vertical="center"/>
    </xf>
    <xf numFmtId="43" fontId="19" fillId="6" borderId="0" xfId="0" applyNumberFormat="1" applyFont="1" applyFill="1" applyBorder="1" applyAlignment="1">
      <alignment horizontal="right" vertical="center"/>
    </xf>
    <xf numFmtId="43" fontId="6" fillId="0" borderId="3" xfId="2" applyFont="1" applyFill="1" applyBorder="1"/>
    <xf numFmtId="43" fontId="6" fillId="0" borderId="0" xfId="2" applyFont="1" applyFill="1" applyBorder="1"/>
    <xf numFmtId="43" fontId="6" fillId="0" borderId="1" xfId="2" applyFont="1" applyFill="1" applyBorder="1"/>
    <xf numFmtId="43" fontId="3" fillId="6" borderId="0" xfId="2" applyFont="1" applyFill="1"/>
    <xf numFmtId="43" fontId="6" fillId="6" borderId="0" xfId="2" applyFont="1" applyFill="1" applyBorder="1" applyAlignment="1">
      <alignment horizontal="center" vertical="center"/>
    </xf>
    <xf numFmtId="43" fontId="3" fillId="6" borderId="0" xfId="2" applyFont="1" applyFill="1" applyBorder="1"/>
    <xf numFmtId="43" fontId="3" fillId="6" borderId="1" xfId="2" applyFont="1" applyFill="1" applyBorder="1"/>
    <xf numFmtId="11" fontId="3" fillId="6" borderId="3" xfId="0" applyNumberFormat="1" applyFont="1" applyFill="1" applyBorder="1"/>
    <xf numFmtId="11" fontId="3" fillId="6" borderId="0" xfId="0" applyNumberFormat="1" applyFont="1" applyFill="1" applyBorder="1"/>
    <xf numFmtId="11" fontId="3" fillId="6" borderId="1" xfId="2" applyNumberFormat="1" applyFont="1" applyFill="1" applyBorder="1"/>
    <xf numFmtId="2" fontId="19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3" fontId="19" fillId="11" borderId="0" xfId="0" applyNumberFormat="1" applyFont="1" applyFill="1" applyBorder="1" applyAlignment="1">
      <alignment horizontal="right" vertical="center"/>
    </xf>
    <xf numFmtId="43" fontId="19" fillId="4" borderId="0" xfId="0" applyNumberFormat="1" applyFont="1" applyFill="1" applyBorder="1" applyAlignment="1">
      <alignment horizontal="right" vertical="center"/>
    </xf>
    <xf numFmtId="0" fontId="35" fillId="0" borderId="2" xfId="0" applyFont="1" applyFill="1" applyBorder="1" applyAlignment="1">
      <alignment horizontal="right" vertical="center"/>
    </xf>
    <xf numFmtId="43" fontId="5" fillId="0" borderId="2" xfId="0" applyNumberFormat="1" applyFont="1" applyFill="1" applyBorder="1" applyAlignment="1">
      <alignment vertical="center" wrapText="1"/>
    </xf>
    <xf numFmtId="43" fontId="19" fillId="0" borderId="2" xfId="0" applyNumberFormat="1" applyFont="1" applyFill="1" applyBorder="1" applyAlignment="1">
      <alignment horizontal="right" vertical="center"/>
    </xf>
    <xf numFmtId="43" fontId="6" fillId="0" borderId="2" xfId="0" applyNumberFormat="1" applyFont="1" applyFill="1" applyBorder="1" applyAlignment="1">
      <alignment horizontal="right" vertical="center"/>
    </xf>
    <xf numFmtId="11" fontId="3" fillId="6" borderId="1" xfId="0" applyNumberFormat="1" applyFont="1" applyFill="1" applyBorder="1"/>
    <xf numFmtId="173" fontId="3" fillId="0" borderId="3" xfId="0" applyNumberFormat="1" applyFont="1" applyBorder="1"/>
    <xf numFmtId="173" fontId="3" fillId="0" borderId="0" xfId="0" applyNumberFormat="1" applyFont="1" applyBorder="1"/>
    <xf numFmtId="173" fontId="3" fillId="0" borderId="1" xfId="0" applyNumberFormat="1" applyFont="1" applyBorder="1"/>
    <xf numFmtId="0" fontId="1" fillId="2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0" fontId="29" fillId="6" borderId="0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1" fillId="0" borderId="0" xfId="0" applyNumberFormat="1" applyFont="1"/>
    <xf numFmtId="174" fontId="1" fillId="0" borderId="0" xfId="0" applyNumberFormat="1" applyFont="1"/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1" fontId="1" fillId="6" borderId="3" xfId="2" applyNumberFormat="1" applyFont="1" applyFill="1" applyBorder="1" applyAlignment="1">
      <alignment horizontal="right" vertical="center"/>
    </xf>
    <xf numFmtId="11" fontId="1" fillId="6" borderId="0" xfId="2" applyNumberFormat="1" applyFont="1" applyFill="1" applyBorder="1" applyAlignment="1">
      <alignment horizontal="right" vertical="center"/>
    </xf>
    <xf numFmtId="11" fontId="1" fillId="6" borderId="1" xfId="2" applyNumberFormat="1" applyFont="1" applyFill="1" applyBorder="1" applyAlignment="1">
      <alignment horizontal="right" vertical="center"/>
    </xf>
    <xf numFmtId="170" fontId="3" fillId="0" borderId="3" xfId="2" applyNumberFormat="1" applyFont="1" applyBorder="1"/>
    <xf numFmtId="170" fontId="3" fillId="0" borderId="0" xfId="2" applyNumberFormat="1" applyFont="1" applyBorder="1"/>
    <xf numFmtId="170" fontId="3" fillId="0" borderId="1" xfId="2" applyNumberFormat="1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 wrapText="1"/>
    </xf>
    <xf numFmtId="43" fontId="6" fillId="6" borderId="1" xfId="2" applyFont="1" applyFill="1" applyBorder="1" applyAlignment="1">
      <alignment horizontal="right" vertical="center"/>
    </xf>
    <xf numFmtId="43" fontId="3" fillId="6" borderId="1" xfId="2" applyFont="1" applyFill="1" applyBorder="1" applyAlignment="1">
      <alignment horizontal="right" vertical="center"/>
    </xf>
    <xf numFmtId="170" fontId="29" fillId="6" borderId="0" xfId="2" applyNumberFormat="1" applyFont="1" applyFill="1" applyBorder="1" applyAlignment="1">
      <alignment vertical="center"/>
    </xf>
    <xf numFmtId="2" fontId="6" fillId="6" borderId="0" xfId="2" applyNumberFormat="1" applyFont="1" applyFill="1" applyBorder="1" applyAlignment="1">
      <alignment vertical="center"/>
    </xf>
    <xf numFmtId="0" fontId="1" fillId="6" borderId="0" xfId="0" applyFont="1" applyFill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1" fontId="7" fillId="6" borderId="1" xfId="2" applyNumberFormat="1" applyFont="1" applyFill="1" applyBorder="1" applyAlignment="1">
      <alignment vertical="center"/>
    </xf>
    <xf numFmtId="169" fontId="4" fillId="0" borderId="3" xfId="2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1" fontId="3" fillId="0" borderId="3" xfId="0" applyNumberFormat="1" applyFont="1" applyBorder="1"/>
    <xf numFmtId="11" fontId="3" fillId="0" borderId="0" xfId="0" applyNumberFormat="1" applyFont="1" applyBorder="1"/>
    <xf numFmtId="11" fontId="1" fillId="0" borderId="0" xfId="2" applyNumberFormat="1" applyFont="1" applyFill="1" applyBorder="1" applyAlignment="1">
      <alignment horizontal="center" vertical="center"/>
    </xf>
    <xf numFmtId="43" fontId="1" fillId="0" borderId="2" xfId="2" applyFont="1" applyFill="1" applyBorder="1" applyAlignment="1">
      <alignment horizontal="center" vertical="center"/>
    </xf>
    <xf numFmtId="11" fontId="1" fillId="0" borderId="1" xfId="2" applyNumberFormat="1" applyFont="1" applyFill="1" applyBorder="1" applyAlignment="1">
      <alignment horizontal="center" vertical="center"/>
    </xf>
    <xf numFmtId="43" fontId="1" fillId="4" borderId="0" xfId="0" applyNumberFormat="1" applyFont="1" applyFill="1" applyBorder="1"/>
    <xf numFmtId="43" fontId="1" fillId="4" borderId="1" xfId="0" applyNumberFormat="1" applyFont="1" applyFill="1" applyBorder="1"/>
    <xf numFmtId="0" fontId="6" fillId="4" borderId="3" xfId="1" applyFont="1" applyFill="1" applyBorder="1" applyAlignment="1">
      <alignment horizontal="center" vertical="center" wrapText="1"/>
    </xf>
    <xf numFmtId="171" fontId="6" fillId="4" borderId="0" xfId="2" applyNumberFormat="1" applyFont="1" applyFill="1" applyBorder="1"/>
    <xf numFmtId="171" fontId="6" fillId="4" borderId="1" xfId="2" applyNumberFormat="1" applyFont="1" applyFill="1" applyBorder="1"/>
    <xf numFmtId="43" fontId="1" fillId="4" borderId="0" xfId="2" applyFont="1" applyFill="1" applyBorder="1" applyAlignment="1">
      <alignment horizontal="center" vertical="center"/>
    </xf>
    <xf numFmtId="43" fontId="1" fillId="4" borderId="1" xfId="2" applyFont="1" applyFill="1" applyBorder="1" applyAlignment="1">
      <alignment horizontal="center" vertical="center"/>
    </xf>
    <xf numFmtId="11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vertical="center"/>
    </xf>
    <xf numFmtId="11" fontId="4" fillId="0" borderId="0" xfId="0" applyNumberFormat="1" applyFont="1" applyFill="1" applyBorder="1" applyAlignment="1">
      <alignment horizontal="left" vertical="center"/>
    </xf>
    <xf numFmtId="11" fontId="4" fillId="0" borderId="0" xfId="0" applyNumberFormat="1" applyFont="1" applyFill="1" applyBorder="1" applyAlignment="1">
      <alignment vertical="center"/>
    </xf>
    <xf numFmtId="43" fontId="4" fillId="0" borderId="0" xfId="2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43" fontId="4" fillId="0" borderId="1" xfId="2" applyFont="1" applyFill="1" applyBorder="1" applyAlignment="1">
      <alignment horizontal="left" vertical="center"/>
    </xf>
    <xf numFmtId="11" fontId="4" fillId="0" borderId="1" xfId="0" applyNumberFormat="1" applyFont="1" applyFill="1" applyBorder="1" applyAlignment="1">
      <alignment horizontal="left" vertical="center"/>
    </xf>
    <xf numFmtId="11" fontId="4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169" fontId="4" fillId="0" borderId="0" xfId="2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center" vertical="center"/>
    </xf>
    <xf numFmtId="44" fontId="4" fillId="0" borderId="0" xfId="4" applyFont="1" applyFill="1" applyBorder="1" applyAlignment="1">
      <alignment horizontal="center" vertical="center"/>
    </xf>
    <xf numFmtId="44" fontId="4" fillId="0" borderId="1" xfId="4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4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5" fontId="1" fillId="0" borderId="0" xfId="0" applyNumberFormat="1" applyFont="1"/>
    <xf numFmtId="0" fontId="3" fillId="5" borderId="4" xfId="0" applyFont="1" applyFill="1" applyBorder="1" applyAlignment="1">
      <alignment horizontal="center" vertical="center"/>
    </xf>
    <xf numFmtId="175" fontId="1" fillId="5" borderId="10" xfId="0" applyNumberFormat="1" applyFont="1" applyFill="1" applyBorder="1"/>
    <xf numFmtId="0" fontId="3" fillId="5" borderId="9" xfId="0" applyFont="1" applyFill="1" applyBorder="1" applyAlignment="1">
      <alignment horizontal="center" vertical="center"/>
    </xf>
    <xf numFmtId="175" fontId="1" fillId="5" borderId="5" xfId="0" applyNumberFormat="1" applyFont="1" applyFill="1" applyBorder="1"/>
    <xf numFmtId="0" fontId="29" fillId="5" borderId="9" xfId="0" applyFont="1" applyFill="1" applyBorder="1" applyAlignment="1">
      <alignment horizontal="center"/>
    </xf>
    <xf numFmtId="175" fontId="29" fillId="5" borderId="5" xfId="0" applyNumberFormat="1" applyFont="1" applyFill="1" applyBorder="1"/>
    <xf numFmtId="0" fontId="3" fillId="5" borderId="11" xfId="0" applyFont="1" applyFill="1" applyBorder="1" applyAlignment="1">
      <alignment horizontal="center" vertical="center"/>
    </xf>
    <xf numFmtId="175" fontId="1" fillId="5" borderId="6" xfId="0" applyNumberFormat="1" applyFont="1" applyFill="1" applyBorder="1"/>
    <xf numFmtId="0" fontId="3" fillId="6" borderId="4" xfId="0" applyFont="1" applyFill="1" applyBorder="1" applyAlignment="1">
      <alignment horizontal="center" vertical="center"/>
    </xf>
    <xf numFmtId="175" fontId="1" fillId="6" borderId="10" xfId="0" applyNumberFormat="1" applyFont="1" applyFill="1" applyBorder="1"/>
    <xf numFmtId="0" fontId="3" fillId="6" borderId="9" xfId="0" applyFont="1" applyFill="1" applyBorder="1" applyAlignment="1">
      <alignment horizontal="center" vertical="center"/>
    </xf>
    <xf numFmtId="175" fontId="1" fillId="6" borderId="5" xfId="0" applyNumberFormat="1" applyFont="1" applyFill="1" applyBorder="1"/>
    <xf numFmtId="0" fontId="29" fillId="6" borderId="9" xfId="0" applyFont="1" applyFill="1" applyBorder="1" applyAlignment="1">
      <alignment horizontal="center"/>
    </xf>
    <xf numFmtId="175" fontId="29" fillId="6" borderId="5" xfId="0" applyNumberFormat="1" applyFont="1" applyFill="1" applyBorder="1"/>
    <xf numFmtId="0" fontId="3" fillId="6" borderId="11" xfId="0" applyFont="1" applyFill="1" applyBorder="1" applyAlignment="1">
      <alignment horizontal="center" vertical="center"/>
    </xf>
    <xf numFmtId="175" fontId="1" fillId="6" borderId="6" xfId="0" applyNumberFormat="1" applyFont="1" applyFill="1" applyBorder="1"/>
    <xf numFmtId="0" fontId="3" fillId="6" borderId="4" xfId="0" applyFont="1" applyFill="1" applyBorder="1" applyAlignment="1">
      <alignment horizontal="right" vertical="center"/>
    </xf>
    <xf numFmtId="43" fontId="1" fillId="6" borderId="10" xfId="0" applyNumberFormat="1" applyFont="1" applyFill="1" applyBorder="1"/>
    <xf numFmtId="0" fontId="3" fillId="6" borderId="9" xfId="0" applyFont="1" applyFill="1" applyBorder="1" applyAlignment="1">
      <alignment horizontal="right" vertical="center"/>
    </xf>
    <xf numFmtId="43" fontId="1" fillId="6" borderId="5" xfId="0" applyNumberFormat="1" applyFont="1" applyFill="1" applyBorder="1"/>
    <xf numFmtId="0" fontId="3" fillId="6" borderId="11" xfId="0" applyFont="1" applyFill="1" applyBorder="1" applyAlignment="1">
      <alignment horizontal="right" vertical="center"/>
    </xf>
    <xf numFmtId="43" fontId="1" fillId="6" borderId="6" xfId="0" applyNumberFormat="1" applyFont="1" applyFill="1" applyBorder="1"/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11" fontId="3" fillId="0" borderId="2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left" vertical="center"/>
    </xf>
    <xf numFmtId="172" fontId="29" fillId="6" borderId="1" xfId="2" applyNumberFormat="1" applyFont="1" applyFill="1" applyBorder="1" applyAlignment="1">
      <alignment vertical="center"/>
    </xf>
    <xf numFmtId="0" fontId="22" fillId="8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 vertical="top"/>
    </xf>
    <xf numFmtId="0" fontId="26" fillId="7" borderId="0" xfId="0" applyFont="1" applyFill="1" applyAlignment="1">
      <alignment horizontal="center" vertical="center"/>
    </xf>
    <xf numFmtId="0" fontId="37" fillId="7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1" fillId="0" borderId="0" xfId="3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2" fontId="6" fillId="0" borderId="3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170" fontId="19" fillId="6" borderId="0" xfId="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170" fontId="7" fillId="6" borderId="3" xfId="2" applyNumberFormat="1" applyFont="1" applyFill="1" applyBorder="1" applyAlignment="1">
      <alignment horizontal="center" vertical="center"/>
    </xf>
    <xf numFmtId="170" fontId="29" fillId="6" borderId="0" xfId="2" applyNumberFormat="1" applyFont="1" applyFill="1" applyBorder="1" applyAlignment="1">
      <alignment horizontal="center" vertical="center"/>
    </xf>
    <xf numFmtId="170" fontId="6" fillId="6" borderId="0" xfId="2" applyNumberFormat="1" applyFont="1" applyFill="1" applyBorder="1" applyAlignment="1">
      <alignment horizontal="center" vertical="center"/>
    </xf>
    <xf numFmtId="170" fontId="7" fillId="6" borderId="0" xfId="2" applyNumberFormat="1" applyFont="1" applyFill="1" applyBorder="1" applyAlignment="1">
      <alignment horizontal="center" vertical="center"/>
    </xf>
    <xf numFmtId="170" fontId="4" fillId="6" borderId="0" xfId="2" applyNumberFormat="1" applyFont="1" applyFill="1" applyBorder="1" applyAlignment="1">
      <alignment horizontal="center" vertical="center"/>
    </xf>
    <xf numFmtId="2" fontId="29" fillId="6" borderId="0" xfId="0" applyNumberFormat="1" applyFont="1" applyFill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170" fontId="6" fillId="0" borderId="2" xfId="2" applyNumberFormat="1" applyFont="1" applyFill="1" applyBorder="1" applyAlignment="1">
      <alignment horizontal="right" vertical="center"/>
    </xf>
    <xf numFmtId="2" fontId="4" fillId="6" borderId="0" xfId="0" applyNumberFormat="1" applyFont="1" applyFill="1" applyAlignment="1">
      <alignment horizontal="right" vertical="center"/>
    </xf>
    <xf numFmtId="2" fontId="29" fillId="6" borderId="0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5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3" fillId="6" borderId="4" xfId="0" applyNumberFormat="1" applyFont="1" applyFill="1" applyBorder="1" applyAlignment="1">
      <alignment horizontal="center"/>
    </xf>
    <xf numFmtId="175" fontId="29" fillId="6" borderId="10" xfId="0" applyNumberFormat="1" applyFont="1" applyFill="1" applyBorder="1"/>
  </cellXfs>
  <cellStyles count="5">
    <cellStyle name="Hiperlink" xfId="3" builtinId="8"/>
    <cellStyle name="Moeda" xfId="4" builtinId="4"/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colors>
    <mruColors>
      <color rgb="FFFFFF99"/>
      <color rgb="FF0000FF"/>
      <color rgb="FF00CC00"/>
      <color rgb="FFFFFF66"/>
      <color rgb="FFCC9900"/>
      <color rgb="FFFFCC66"/>
      <color rgb="FFFF6600"/>
      <color rgb="FFFF9900"/>
      <color rgb="FFFFCC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50057021048298"/>
          <c:y val="7.9062773403324571E-2"/>
          <c:w val="0.77747967293733056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'1 Sol'!$B$14:$B$27</c:f>
              <c:strCache>
                <c:ptCount val="14"/>
                <c:pt idx="0">
                  <c:v>C1,5A</c:v>
                </c:pt>
                <c:pt idx="1">
                  <c:v>RF1,5A</c:v>
                </c:pt>
                <c:pt idx="2">
                  <c:v>C5A</c:v>
                </c:pt>
                <c:pt idx="3">
                  <c:v>RF5A</c:v>
                </c:pt>
                <c:pt idx="4">
                  <c:v>C8A</c:v>
                </c:pt>
                <c:pt idx="5">
                  <c:v>RF8A</c:v>
                </c:pt>
                <c:pt idx="6">
                  <c:v>C14A</c:v>
                </c:pt>
                <c:pt idx="7">
                  <c:v>RF14A</c:v>
                </c:pt>
                <c:pt idx="8">
                  <c:v>C20A</c:v>
                </c:pt>
                <c:pt idx="9">
                  <c:v>RF20A</c:v>
                </c:pt>
                <c:pt idx="10">
                  <c:v>C26A</c:v>
                </c:pt>
                <c:pt idx="11">
                  <c:v>RF26A</c:v>
                </c:pt>
                <c:pt idx="12">
                  <c:v>CFN</c:v>
                </c:pt>
                <c:pt idx="13">
                  <c:v>FN</c:v>
                </c:pt>
              </c:strCache>
            </c:strRef>
          </c:cat>
          <c:val>
            <c:numRef>
              <c:f>'1 Sol'!$G$14:$G$27</c:f>
              <c:numCache>
                <c:formatCode>0.00E+00</c:formatCode>
                <c:ptCount val="14"/>
                <c:pt idx="0">
                  <c:v>47553660000000</c:v>
                </c:pt>
                <c:pt idx="1">
                  <c:v>47559841975800</c:v>
                </c:pt>
                <c:pt idx="2">
                  <c:v>47553660000000</c:v>
                </c:pt>
                <c:pt idx="3">
                  <c:v>48285076051080</c:v>
                </c:pt>
                <c:pt idx="4">
                  <c:v>47553660000000</c:v>
                </c:pt>
                <c:pt idx="5">
                  <c:v>50121550846620</c:v>
                </c:pt>
                <c:pt idx="6">
                  <c:v>47553660000000</c:v>
                </c:pt>
                <c:pt idx="7">
                  <c:v>55099107926280.008</c:v>
                </c:pt>
                <c:pt idx="8">
                  <c:v>47553660000000</c:v>
                </c:pt>
                <c:pt idx="9">
                  <c:v>58213077830820</c:v>
                </c:pt>
                <c:pt idx="10">
                  <c:v>47553660000000</c:v>
                </c:pt>
                <c:pt idx="11">
                  <c:v>59630781509640</c:v>
                </c:pt>
                <c:pt idx="12">
                  <c:v>47553660000000</c:v>
                </c:pt>
                <c:pt idx="13">
                  <c:v>61140420000000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818624"/>
        <c:axId val="226338496"/>
      </c:barChart>
      <c:catAx>
        <c:axId val="22581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6338496"/>
        <c:crosses val="autoZero"/>
        <c:auto val="1"/>
        <c:lblAlgn val="ctr"/>
        <c:lblOffset val="100"/>
        <c:noMultiLvlLbl val="0"/>
      </c:catAx>
      <c:valAx>
        <c:axId val="226338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Energia solar (J/ha.ano)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225818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5105589146712"/>
          <c:y val="7.9062773403324571E-2"/>
          <c:w val="0.73022918371541934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'1 Sol'!$B$14:$B$27</c:f>
              <c:strCache>
                <c:ptCount val="14"/>
                <c:pt idx="0">
                  <c:v>C1,5A</c:v>
                </c:pt>
                <c:pt idx="1">
                  <c:v>RF1,5A</c:v>
                </c:pt>
                <c:pt idx="2">
                  <c:v>C5A</c:v>
                </c:pt>
                <c:pt idx="3">
                  <c:v>RF5A</c:v>
                </c:pt>
                <c:pt idx="4">
                  <c:v>C8A</c:v>
                </c:pt>
                <c:pt idx="5">
                  <c:v>RF8A</c:v>
                </c:pt>
                <c:pt idx="6">
                  <c:v>C14A</c:v>
                </c:pt>
                <c:pt idx="7">
                  <c:v>RF14A</c:v>
                </c:pt>
                <c:pt idx="8">
                  <c:v>C20A</c:v>
                </c:pt>
                <c:pt idx="9">
                  <c:v>RF20A</c:v>
                </c:pt>
                <c:pt idx="10">
                  <c:v>C26A</c:v>
                </c:pt>
                <c:pt idx="11">
                  <c:v>RF26A</c:v>
                </c:pt>
                <c:pt idx="12">
                  <c:v>CFN</c:v>
                </c:pt>
                <c:pt idx="13">
                  <c:v>FN</c:v>
                </c:pt>
              </c:strCache>
            </c:strRef>
          </c:cat>
          <c:val>
            <c:numRef>
              <c:f>'5 Nascente'!$F$5:$F$18</c:f>
              <c:numCache>
                <c:formatCode>_(* #,##0.00_);_(* \(#,##0.00\);_(*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7811840"/>
        <c:axId val="227739328"/>
      </c:barChart>
      <c:catAx>
        <c:axId val="22781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7739328"/>
        <c:crosses val="autoZero"/>
        <c:auto val="1"/>
        <c:lblAlgn val="ctr"/>
        <c:lblOffset val="100"/>
        <c:noMultiLvlLbl val="0"/>
      </c:catAx>
      <c:valAx>
        <c:axId val="227739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de água produzido pela nascente (m</a:t>
                </a:r>
                <a:r>
                  <a:rPr lang="en-US" baseline="30000"/>
                  <a:t>3</a:t>
                </a:r>
                <a:r>
                  <a:rPr lang="en-US"/>
                  <a:t> /área.ano)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227811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58770778652668"/>
          <c:y val="1.1754884806065914E-2"/>
          <c:w val="0.58461373578302711"/>
          <c:h val="0.97435622630504515"/>
        </c:manualLayout>
      </c:layout>
      <c:pieChart>
        <c:varyColors val="1"/>
        <c:ser>
          <c:idx val="0"/>
          <c:order val="0"/>
          <c:tx>
            <c:strRef>
              <c:f>'Avaliação Emergética'!$B$44:$B$45</c:f>
              <c:strCache>
                <c:ptCount val="1"/>
                <c:pt idx="0">
                  <c:v>I F</c:v>
                </c:pt>
              </c:strCache>
            </c:strRef>
          </c:tx>
          <c:dLbls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'Avaliação Emergética'!$B$44:$B$45</c:f>
              <c:strCache>
                <c:ptCount val="2"/>
                <c:pt idx="0">
                  <c:v>I</c:v>
                </c:pt>
                <c:pt idx="1">
                  <c:v>F</c:v>
                </c:pt>
              </c:strCache>
            </c:strRef>
          </c:cat>
          <c:val>
            <c:numRef>
              <c:f>'Avaliação Emergética'!$H$44:$H$45</c:f>
              <c:numCache>
                <c:formatCode>0.0E+00</c:formatCode>
                <c:ptCount val="2"/>
                <c:pt idx="0">
                  <c:v>8257183650655123</c:v>
                </c:pt>
                <c:pt idx="1">
                  <c:v>3.8658192023821848E+16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'Avaliação Emergética'!$B$44:$B$45</c:f>
              <c:strCache>
                <c:ptCount val="2"/>
                <c:pt idx="0">
                  <c:v>I</c:v>
                </c:pt>
                <c:pt idx="1">
                  <c:v>F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58770778652668"/>
          <c:y val="1.1754884806065914E-2"/>
          <c:w val="0.58461373578302711"/>
          <c:h val="0.97435622630504515"/>
        </c:manualLayout>
      </c:layout>
      <c:pieChart>
        <c:varyColors val="1"/>
        <c:ser>
          <c:idx val="0"/>
          <c:order val="0"/>
          <c:dLbls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('Avaliação Emergética'!$B$46,'Avaliação Emergética'!$B$50,'Avaliação Emergética'!$B$52,'Avaliação Emergética'!$B$47,'Avaliação Emergética'!$B$51,'Avaliação Emergética'!$B$53)</c:f>
              <c:strCache>
                <c:ptCount val="6"/>
                <c:pt idx="0">
                  <c:v>IN</c:v>
                </c:pt>
                <c:pt idx="1">
                  <c:v>SN</c:v>
                </c:pt>
                <c:pt idx="2">
                  <c:v>MN</c:v>
                </c:pt>
                <c:pt idx="3">
                  <c:v>IR</c:v>
                </c:pt>
                <c:pt idx="4">
                  <c:v>SR</c:v>
                </c:pt>
                <c:pt idx="5">
                  <c:v>MR</c:v>
                </c:pt>
              </c:strCache>
            </c:strRef>
          </c:cat>
          <c:val>
            <c:numRef>
              <c:f>('Avaliação Emergética'!$H$46,'Avaliação Emergética'!$H$50,'Avaliação Emergética'!$H$52,'Avaliação Emergética'!$H$47,'Avaliação Emergética'!$H$51,'Avaliação Emergética'!$H$53)</c:f>
              <c:numCache>
                <c:formatCode>0.0E+00</c:formatCode>
                <c:ptCount val="6"/>
                <c:pt idx="0">
                  <c:v>294046560000000</c:v>
                </c:pt>
                <c:pt idx="1">
                  <c:v>1.1317836446629212E+16</c:v>
                </c:pt>
                <c:pt idx="2">
                  <c:v>2.087763370309414E+16</c:v>
                </c:pt>
                <c:pt idx="3">
                  <c:v>7963137090655123</c:v>
                </c:pt>
                <c:pt idx="4">
                  <c:v>4850501334269663</c:v>
                </c:pt>
                <c:pt idx="5">
                  <c:v>1612220539828834.7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58770778652668"/>
          <c:y val="1.1754884806065914E-2"/>
          <c:w val="0.58461373578302711"/>
          <c:h val="0.97435622630504515"/>
        </c:manualLayout>
      </c:layout>
      <c:pieChart>
        <c:varyColors val="1"/>
        <c:ser>
          <c:idx val="0"/>
          <c:order val="0"/>
          <c:dLbls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('Avaliação Emergética'!$B$46,'Avaliação Emergética'!$B$50,'Avaliação Emergética'!$B$52,'Avaliação Emergética'!$B$47,'Avaliação Emergética'!$B$51,'Avaliação Emergética'!$B$53)</c:f>
              <c:strCache>
                <c:ptCount val="6"/>
                <c:pt idx="0">
                  <c:v>IN</c:v>
                </c:pt>
                <c:pt idx="1">
                  <c:v>SN</c:v>
                </c:pt>
                <c:pt idx="2">
                  <c:v>MN</c:v>
                </c:pt>
                <c:pt idx="3">
                  <c:v>IR</c:v>
                </c:pt>
                <c:pt idx="4">
                  <c:v>SR</c:v>
                </c:pt>
                <c:pt idx="5">
                  <c:v>MR</c:v>
                </c:pt>
              </c:strCache>
            </c:strRef>
          </c:cat>
          <c:val>
            <c:numRef>
              <c:f>('Avaliação Emergética'!$T$46,'Avaliação Emergética'!$T$50,'Avaliação Emergética'!$T$52,'Avaliação Emergética'!$T$47,'Avaliação Emergética'!$T$51,'Avaliação Emergética'!$T$53)</c:f>
              <c:numCache>
                <c:formatCode>0.0E+00</c:formatCode>
                <c:ptCount val="6"/>
                <c:pt idx="0">
                  <c:v>588093120000000</c:v>
                </c:pt>
                <c:pt idx="1">
                  <c:v>1.6112195763108612E+16</c:v>
                </c:pt>
                <c:pt idx="2">
                  <c:v>3.6714468660302824E+16</c:v>
                </c:pt>
                <c:pt idx="3">
                  <c:v>1.6181770314382266E+16</c:v>
                </c:pt>
                <c:pt idx="4">
                  <c:v>6905226755617978</c:v>
                </c:pt>
                <c:pt idx="5">
                  <c:v>1612220539828834.7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Emergética'!$CX$42:$DE$42</c:f>
              <c:numCache>
                <c:formatCode>[$$-409]#,##0.00</c:formatCode>
                <c:ptCount val="8"/>
                <c:pt idx="0">
                  <c:v>14216.780507417265</c:v>
                </c:pt>
                <c:pt idx="1">
                  <c:v>18779.51919241318</c:v>
                </c:pt>
                <c:pt idx="2">
                  <c:v>23670.901561588038</c:v>
                </c:pt>
                <c:pt idx="3">
                  <c:v>26156.889615905537</c:v>
                </c:pt>
                <c:pt idx="4">
                  <c:v>28670.57096544985</c:v>
                </c:pt>
                <c:pt idx="5">
                  <c:v>37567.250759635266</c:v>
                </c:pt>
                <c:pt idx="6">
                  <c:v>47712.051289173032</c:v>
                </c:pt>
                <c:pt idx="7">
                  <c:v>57237.782258685314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8214784"/>
        <c:axId val="227744512"/>
      </c:barChart>
      <c:catAx>
        <c:axId val="22821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</a:t>
                </a:r>
                <a:r>
                  <a:rPr lang="en-US" baseline="0"/>
                  <a:t> e RF2A = simulado)</a:t>
                </a:r>
                <a:endParaRPr lang="en-US"/>
              </a:p>
            </c:rich>
          </c:tx>
          <c:layout/>
          <c:overlay val="0"/>
        </c:title>
        <c:majorTickMark val="none"/>
        <c:minorTickMark val="none"/>
        <c:tickLblPos val="nextTo"/>
        <c:spPr>
          <a:noFill/>
        </c:spPr>
        <c:crossAx val="227744512"/>
        <c:crosses val="autoZero"/>
        <c:auto val="1"/>
        <c:lblAlgn val="ctr"/>
        <c:lblOffset val="100"/>
        <c:noMultiLvlLbl val="0"/>
      </c:catAx>
      <c:valAx>
        <c:axId val="227744512"/>
        <c:scaling>
          <c:orientation val="minMax"/>
        </c:scaling>
        <c:delete val="0"/>
        <c:axPos val="l"/>
        <c:title>
          <c:tx>
            <c:strRef>
              <c:f>'Avaliação Emergética'!$CV$42</c:f>
              <c:strCache>
                <c:ptCount val="1"/>
                <c:pt idx="0">
                  <c:v>EmUS$/ha 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pt-BR"/>
            </a:p>
          </c:txPr>
        </c:title>
        <c:numFmt formatCode="_-[$$-409]* #,##0.0_-;\-[$$-409]* #,##0.0_-;_-[$$-409]* &quot;-&quot;?_-;_-@_-" sourceLinked="0"/>
        <c:majorTickMark val="out"/>
        <c:minorTickMark val="none"/>
        <c:tickLblPos val="nextTo"/>
        <c:crossAx val="22821478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Emergética'!$CX$43:$DE$43</c:f>
              <c:numCache>
                <c:formatCode>0.00E+00</c:formatCode>
                <c:ptCount val="8"/>
                <c:pt idx="0">
                  <c:v>1199438870615.9021</c:v>
                </c:pt>
                <c:pt idx="1">
                  <c:v>1799158305923.853</c:v>
                </c:pt>
                <c:pt idx="2">
                  <c:v>2398877741231.8042</c:v>
                </c:pt>
                <c:pt idx="3">
                  <c:v>1959685724568.6218</c:v>
                </c:pt>
                <c:pt idx="4">
                  <c:v>1531290813085.5974</c:v>
                </c:pt>
                <c:pt idx="5">
                  <c:v>3135541314205.8574</c:v>
                </c:pt>
                <c:pt idx="6">
                  <c:v>5380493003526.8164</c:v>
                </c:pt>
                <c:pt idx="7">
                  <c:v>5455291834455.9531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8215296"/>
        <c:axId val="229319232"/>
      </c:barChart>
      <c:catAx>
        <c:axId val="22821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</a:t>
                </a:r>
                <a:r>
                  <a:rPr lang="en-US" baseline="0"/>
                  <a:t> e RF2A = simulado)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9319232"/>
        <c:crosses val="autoZero"/>
        <c:auto val="1"/>
        <c:lblAlgn val="ctr"/>
        <c:lblOffset val="100"/>
        <c:noMultiLvlLbl val="0"/>
      </c:catAx>
      <c:valAx>
        <c:axId val="229319232"/>
        <c:scaling>
          <c:orientation val="minMax"/>
        </c:scaling>
        <c:delete val="0"/>
        <c:axPos val="l"/>
        <c:title>
          <c:tx>
            <c:strRef>
              <c:f>'Avaliação Emergética'!$CT$43:$CV$43</c:f>
              <c:strCache>
                <c:ptCount val="1"/>
                <c:pt idx="0">
                  <c:v>E Energia dos recursos produzidos J/ha 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crossAx val="228215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Emergética'!$CX$44:$DE$44</c:f>
              <c:numCache>
                <c:formatCode>0.00E+00</c:formatCode>
                <c:ptCount val="8"/>
                <c:pt idx="0">
                  <c:v>8257183650655123</c:v>
                </c:pt>
                <c:pt idx="1">
                  <c:v>1.197126146362344E+16</c:v>
                </c:pt>
                <c:pt idx="2">
                  <c:v>1.6769863434382266E+16</c:v>
                </c:pt>
                <c:pt idx="3">
                  <c:v>2.4973624013630016E+16</c:v>
                </c:pt>
                <c:pt idx="4">
                  <c:v>3.3268772467126248E+16</c:v>
                </c:pt>
                <c:pt idx="5">
                  <c:v>6.262781578793812E+16</c:v>
                </c:pt>
                <c:pt idx="6">
                  <c:v>9.6105657535412656E+16</c:v>
                </c:pt>
                <c:pt idx="7">
                  <c:v>1.2754056973480325E+17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8216320"/>
        <c:axId val="229320960"/>
      </c:barChart>
      <c:catAx>
        <c:axId val="22821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</a:t>
                </a:r>
                <a:r>
                  <a:rPr lang="en-US" baseline="0"/>
                  <a:t> e RF2A = simulado)</a:t>
                </a:r>
                <a:endParaRPr lang="en-US"/>
              </a:p>
            </c:rich>
          </c:tx>
          <c:layout/>
          <c:overlay val="0"/>
        </c:title>
        <c:majorTickMark val="none"/>
        <c:minorTickMark val="none"/>
        <c:tickLblPos val="nextTo"/>
        <c:spPr>
          <a:noFill/>
        </c:spPr>
        <c:crossAx val="229320960"/>
        <c:crosses val="autoZero"/>
        <c:auto val="1"/>
        <c:lblAlgn val="ctr"/>
        <c:lblOffset val="100"/>
        <c:noMultiLvlLbl val="0"/>
      </c:catAx>
      <c:valAx>
        <c:axId val="229320960"/>
        <c:scaling>
          <c:orientation val="minMax"/>
        </c:scaling>
        <c:delete val="0"/>
        <c:axPos val="l"/>
        <c:title>
          <c:tx>
            <c:strRef>
              <c:f>'Avaliação Emergética'!$CT$44:$CV$44</c:f>
              <c:strCache>
                <c:ptCount val="1"/>
                <c:pt idx="0">
                  <c:v>I Emergia total da natureza  seJ/ha 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crossAx val="228216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Emergética'!$CX$45:$DE$45</c:f>
              <c:numCache>
                <c:formatCode>0.00E+00</c:formatCode>
                <c:ptCount val="8"/>
                <c:pt idx="0">
                  <c:v>3.8658192023821848E+16</c:v>
                </c:pt>
                <c:pt idx="1">
                  <c:v>5.0001151871340048E+16</c:v>
                </c:pt>
                <c:pt idx="2">
                  <c:v>6.1344111718858256E+16</c:v>
                </c:pt>
                <c:pt idx="3">
                  <c:v>6.1344111718858256E+16</c:v>
                </c:pt>
                <c:pt idx="4">
                  <c:v>6.1344111718858256E+16</c:v>
                </c:pt>
                <c:pt idx="5">
                  <c:v>6.1344111718858256E+16</c:v>
                </c:pt>
                <c:pt idx="6">
                  <c:v>6.1344111718858256E+16</c:v>
                </c:pt>
                <c:pt idx="7">
                  <c:v>6.1344111718858256E+16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9453824"/>
        <c:axId val="229322688"/>
      </c:barChart>
      <c:catAx>
        <c:axId val="22945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</a:t>
                </a:r>
                <a:r>
                  <a:rPr lang="en-US" baseline="0"/>
                  <a:t> e RF2A = simulado)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9322688"/>
        <c:crosses val="autoZero"/>
        <c:auto val="1"/>
        <c:lblAlgn val="ctr"/>
        <c:lblOffset val="100"/>
        <c:noMultiLvlLbl val="0"/>
      </c:catAx>
      <c:valAx>
        <c:axId val="229322688"/>
        <c:scaling>
          <c:orientation val="minMax"/>
        </c:scaling>
        <c:delete val="0"/>
        <c:axPos val="l"/>
        <c:title>
          <c:tx>
            <c:strRef>
              <c:f>'Avaliação Emergética'!$CT$45:$CV$45</c:f>
              <c:strCache>
                <c:ptCount val="1"/>
                <c:pt idx="0">
                  <c:v>F Emergia total dos recursos da economia seJ/ha 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crossAx val="229453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Emergética'!$CX$46:$DE$46</c:f>
              <c:numCache>
                <c:formatCode>0.00E+00</c:formatCode>
                <c:ptCount val="8"/>
                <c:pt idx="0">
                  <c:v>294046560000000</c:v>
                </c:pt>
                <c:pt idx="1">
                  <c:v>441069840000000</c:v>
                </c:pt>
                <c:pt idx="2">
                  <c:v>588093120000000</c:v>
                </c:pt>
                <c:pt idx="3">
                  <c:v>674493120000000</c:v>
                </c:pt>
                <c:pt idx="4">
                  <c:v>760893120000000</c:v>
                </c:pt>
                <c:pt idx="5">
                  <c:v>933693120000000</c:v>
                </c:pt>
                <c:pt idx="6">
                  <c:v>1106493120000000</c:v>
                </c:pt>
                <c:pt idx="7">
                  <c:v>1279293120000000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9454336"/>
        <c:axId val="229324416"/>
      </c:barChart>
      <c:catAx>
        <c:axId val="22945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</a:t>
                </a:r>
                <a:r>
                  <a:rPr lang="en-US" baseline="0"/>
                  <a:t> e RF2A = simulado)</a:t>
                </a:r>
                <a:endParaRPr lang="en-US"/>
              </a:p>
            </c:rich>
          </c:tx>
          <c:layout/>
          <c:overlay val="0"/>
        </c:title>
        <c:majorTickMark val="none"/>
        <c:minorTickMark val="none"/>
        <c:tickLblPos val="nextTo"/>
        <c:spPr>
          <a:noFill/>
        </c:spPr>
        <c:crossAx val="229324416"/>
        <c:crosses val="autoZero"/>
        <c:auto val="1"/>
        <c:lblAlgn val="ctr"/>
        <c:lblOffset val="100"/>
        <c:noMultiLvlLbl val="0"/>
      </c:catAx>
      <c:valAx>
        <c:axId val="229324416"/>
        <c:scaling>
          <c:orientation val="minMax"/>
        </c:scaling>
        <c:delete val="0"/>
        <c:axPos val="l"/>
        <c:title>
          <c:tx>
            <c:strRef>
              <c:f>'Avaliação Emergética'!$CT$46:$CV$46</c:f>
              <c:strCache>
                <c:ptCount val="1"/>
                <c:pt idx="0">
                  <c:v>IN Emergia não renovável da natureza seJ/ha 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crossAx val="229454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Emergética'!$CX$47:$DE$47</c:f>
              <c:numCache>
                <c:formatCode>0.00E+00</c:formatCode>
                <c:ptCount val="8"/>
                <c:pt idx="0">
                  <c:v>7963137090655123</c:v>
                </c:pt>
                <c:pt idx="1">
                  <c:v>1.153019162362344E+16</c:v>
                </c:pt>
                <c:pt idx="2">
                  <c:v>1.6181770314382266E+16</c:v>
                </c:pt>
                <c:pt idx="3">
                  <c:v>2.4299130893630016E+16</c:v>
                </c:pt>
                <c:pt idx="4">
                  <c:v>3.2507879347126248E+16</c:v>
                </c:pt>
                <c:pt idx="5">
                  <c:v>6.169412266793812E+16</c:v>
                </c:pt>
                <c:pt idx="6">
                  <c:v>9.4999164415412656E+16</c:v>
                </c:pt>
                <c:pt idx="7">
                  <c:v>1.2626127661480325E+17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9454848"/>
        <c:axId val="229326144"/>
      </c:barChart>
      <c:catAx>
        <c:axId val="22945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</a:t>
                </a:r>
                <a:r>
                  <a:rPr lang="en-US" baseline="0"/>
                  <a:t> e RF2A = simulado)</a:t>
                </a:r>
                <a:endParaRPr lang="en-US"/>
              </a:p>
            </c:rich>
          </c:tx>
          <c:layout/>
          <c:overlay val="0"/>
        </c:title>
        <c:majorTickMark val="none"/>
        <c:minorTickMark val="none"/>
        <c:tickLblPos val="nextTo"/>
        <c:spPr>
          <a:noFill/>
        </c:spPr>
        <c:crossAx val="229326144"/>
        <c:crosses val="autoZero"/>
        <c:auto val="1"/>
        <c:lblAlgn val="ctr"/>
        <c:lblOffset val="100"/>
        <c:noMultiLvlLbl val="0"/>
      </c:catAx>
      <c:valAx>
        <c:axId val="229326144"/>
        <c:scaling>
          <c:orientation val="minMax"/>
        </c:scaling>
        <c:delete val="0"/>
        <c:axPos val="l"/>
        <c:title>
          <c:tx>
            <c:strRef>
              <c:f>'Avaliação Emergética'!$CT$47:$CV$47</c:f>
              <c:strCache>
                <c:ptCount val="1"/>
                <c:pt idx="0">
                  <c:v>IR Emergia renovável da natureza seJ/ha 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crossAx val="22945484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50057021048298"/>
          <c:y val="7.9062773403324571E-2"/>
          <c:w val="0.77747967293733056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'1 Sol'!$B$14:$B$27</c:f>
              <c:strCache>
                <c:ptCount val="14"/>
                <c:pt idx="0">
                  <c:v>C1,5A</c:v>
                </c:pt>
                <c:pt idx="1">
                  <c:v>RF1,5A</c:v>
                </c:pt>
                <c:pt idx="2">
                  <c:v>C5A</c:v>
                </c:pt>
                <c:pt idx="3">
                  <c:v>RF5A</c:v>
                </c:pt>
                <c:pt idx="4">
                  <c:v>C8A</c:v>
                </c:pt>
                <c:pt idx="5">
                  <c:v>RF8A</c:v>
                </c:pt>
                <c:pt idx="6">
                  <c:v>C14A</c:v>
                </c:pt>
                <c:pt idx="7">
                  <c:v>RF14A</c:v>
                </c:pt>
                <c:pt idx="8">
                  <c:v>C20A</c:v>
                </c:pt>
                <c:pt idx="9">
                  <c:v>RF20A</c:v>
                </c:pt>
                <c:pt idx="10">
                  <c:v>C26A</c:v>
                </c:pt>
                <c:pt idx="11">
                  <c:v>RF26A</c:v>
                </c:pt>
                <c:pt idx="12">
                  <c:v>CFN</c:v>
                </c:pt>
                <c:pt idx="13">
                  <c:v>FN</c:v>
                </c:pt>
              </c:strCache>
            </c:strRef>
          </c:cat>
          <c:val>
            <c:numRef>
              <c:f>'1 Sol'!$H$14:$H$27</c:f>
              <c:numCache>
                <c:formatCode>0.00E+00</c:formatCode>
                <c:ptCount val="14"/>
                <c:pt idx="0">
                  <c:v>47553660000000</c:v>
                </c:pt>
                <c:pt idx="1">
                  <c:v>71339762963700</c:v>
                </c:pt>
                <c:pt idx="2">
                  <c:v>47553660000000</c:v>
                </c:pt>
                <c:pt idx="3">
                  <c:v>241425380255400</c:v>
                </c:pt>
                <c:pt idx="4">
                  <c:v>47553660000000</c:v>
                </c:pt>
                <c:pt idx="5">
                  <c:v>400972406772960</c:v>
                </c:pt>
                <c:pt idx="6">
                  <c:v>47553660000000</c:v>
                </c:pt>
                <c:pt idx="7">
                  <c:v>771387510967920.12</c:v>
                </c:pt>
                <c:pt idx="8">
                  <c:v>47553660000000</c:v>
                </c:pt>
                <c:pt idx="9">
                  <c:v>1164261556616400</c:v>
                </c:pt>
                <c:pt idx="10">
                  <c:v>47553660000000</c:v>
                </c:pt>
                <c:pt idx="11">
                  <c:v>1550400319250640</c:v>
                </c:pt>
                <c:pt idx="12">
                  <c:v>47553660000000</c:v>
                </c:pt>
                <c:pt idx="13">
                  <c:v>1.2228084E+16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820160"/>
        <c:axId val="226340224"/>
      </c:barChart>
      <c:catAx>
        <c:axId val="22582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6340224"/>
        <c:crosses val="autoZero"/>
        <c:auto val="1"/>
        <c:lblAlgn val="ctr"/>
        <c:lblOffset val="100"/>
        <c:noMultiLvlLbl val="0"/>
      </c:catAx>
      <c:valAx>
        <c:axId val="226340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Energia solar (J/ha.Inv.)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225820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Emergética'!$CX$48:$DE$48</c:f>
              <c:numCache>
                <c:formatCode>0.00E+00</c:formatCode>
                <c:ptCount val="8"/>
                <c:pt idx="0">
                  <c:v>3.2195470149723352E+16</c:v>
                </c:pt>
                <c:pt idx="1">
                  <c:v>4.2511067286567392E+16</c:v>
                </c:pt>
                <c:pt idx="2">
                  <c:v>5.282666442341144E+16</c:v>
                </c:pt>
                <c:pt idx="3">
                  <c:v>5.282666442341144E+16</c:v>
                </c:pt>
                <c:pt idx="4">
                  <c:v>5.282666442341144E+16</c:v>
                </c:pt>
                <c:pt idx="5">
                  <c:v>5.282666442341144E+16</c:v>
                </c:pt>
                <c:pt idx="6">
                  <c:v>5.282666442341144E+16</c:v>
                </c:pt>
                <c:pt idx="7">
                  <c:v>5.282666442341144E+16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9455360"/>
        <c:axId val="229926016"/>
      </c:barChart>
      <c:catAx>
        <c:axId val="22945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</a:t>
                </a:r>
                <a:r>
                  <a:rPr lang="en-US" baseline="0"/>
                  <a:t> e RF2A = simulado)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9926016"/>
        <c:crosses val="autoZero"/>
        <c:auto val="1"/>
        <c:lblAlgn val="ctr"/>
        <c:lblOffset val="100"/>
        <c:noMultiLvlLbl val="0"/>
      </c:catAx>
      <c:valAx>
        <c:axId val="229926016"/>
        <c:scaling>
          <c:orientation val="minMax"/>
        </c:scaling>
        <c:delete val="0"/>
        <c:axPos val="l"/>
        <c:title>
          <c:tx>
            <c:strRef>
              <c:f>'Avaliação Emergética'!$CT$48:$CV$48</c:f>
              <c:strCache>
                <c:ptCount val="1"/>
                <c:pt idx="0">
                  <c:v>FN Emergia não renovável dos recursos da economia seJ/ha 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crossAx val="2294553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Emergética'!$CX$49:$DE$49</c:f>
              <c:numCache>
                <c:formatCode>0.00E+00</c:formatCode>
                <c:ptCount val="8"/>
                <c:pt idx="0">
                  <c:v>6462721874098498</c:v>
                </c:pt>
                <c:pt idx="1">
                  <c:v>7490084584772654</c:v>
                </c:pt>
                <c:pt idx="2">
                  <c:v>8517447295446812</c:v>
                </c:pt>
                <c:pt idx="3">
                  <c:v>8517447295446812</c:v>
                </c:pt>
                <c:pt idx="4">
                  <c:v>8517447295446812</c:v>
                </c:pt>
                <c:pt idx="5">
                  <c:v>8517447295446812</c:v>
                </c:pt>
                <c:pt idx="6">
                  <c:v>8517447295446812</c:v>
                </c:pt>
                <c:pt idx="7">
                  <c:v>8517447295446812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9455872"/>
        <c:axId val="229927744"/>
      </c:barChart>
      <c:catAx>
        <c:axId val="22945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</a:t>
                </a:r>
                <a:r>
                  <a:rPr lang="en-US" baseline="0"/>
                  <a:t> e RF2A = simulado)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9927744"/>
        <c:crosses val="autoZero"/>
        <c:auto val="1"/>
        <c:lblAlgn val="ctr"/>
        <c:lblOffset val="100"/>
        <c:noMultiLvlLbl val="0"/>
      </c:catAx>
      <c:valAx>
        <c:axId val="229927744"/>
        <c:scaling>
          <c:orientation val="minMax"/>
        </c:scaling>
        <c:delete val="0"/>
        <c:axPos val="l"/>
        <c:title>
          <c:tx>
            <c:strRef>
              <c:f>'Avaliação Emergética'!$CT$49:$CV$49</c:f>
              <c:strCache>
                <c:ptCount val="1"/>
                <c:pt idx="0">
                  <c:v>FR Emergia renovável dos recursos da economia seJ/ha 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crossAx val="22945587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Emergética'!$CX$50:$DE$50</c:f>
              <c:numCache>
                <c:formatCode>0.00E+00</c:formatCode>
                <c:ptCount val="8"/>
                <c:pt idx="0">
                  <c:v>1.1317836446629212E+16</c:v>
                </c:pt>
                <c:pt idx="1">
                  <c:v>1.3715016104868912E+16</c:v>
                </c:pt>
                <c:pt idx="2">
                  <c:v>1.6112195763108612E+16</c:v>
                </c:pt>
                <c:pt idx="3">
                  <c:v>1.6112195763108612E+16</c:v>
                </c:pt>
                <c:pt idx="4">
                  <c:v>1.6112195763108612E+16</c:v>
                </c:pt>
                <c:pt idx="5">
                  <c:v>1.6112195763108612E+16</c:v>
                </c:pt>
                <c:pt idx="6">
                  <c:v>1.6112195763108612E+16</c:v>
                </c:pt>
                <c:pt idx="7">
                  <c:v>1.6112195763108612E+16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9456384"/>
        <c:axId val="229929472"/>
      </c:barChart>
      <c:catAx>
        <c:axId val="229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</a:t>
                </a:r>
                <a:r>
                  <a:rPr lang="en-US" baseline="0"/>
                  <a:t> e RF2A = simulado)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title>
          <c:tx>
            <c:strRef>
              <c:f>'Avaliação Emergética'!$CT$50:$CV$50</c:f>
              <c:strCache>
                <c:ptCount val="1"/>
                <c:pt idx="0">
                  <c:v>SN Emergia não renovável dos serviços da economia seJ/ha 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crossAx val="22945638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Emergética'!$CX$51:$DE$51</c:f>
              <c:numCache>
                <c:formatCode>0.00E+00</c:formatCode>
                <c:ptCount val="8"/>
                <c:pt idx="0">
                  <c:v>4850501334269663</c:v>
                </c:pt>
                <c:pt idx="1">
                  <c:v>5877864044943819</c:v>
                </c:pt>
                <c:pt idx="2">
                  <c:v>6905226755617978</c:v>
                </c:pt>
                <c:pt idx="3">
                  <c:v>6905226755617978</c:v>
                </c:pt>
                <c:pt idx="4">
                  <c:v>6905226755617978</c:v>
                </c:pt>
                <c:pt idx="5">
                  <c:v>6905226755617978</c:v>
                </c:pt>
                <c:pt idx="6">
                  <c:v>6905226755617978</c:v>
                </c:pt>
                <c:pt idx="7">
                  <c:v>6905226755617978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9456896"/>
        <c:axId val="229931200"/>
      </c:barChart>
      <c:catAx>
        <c:axId val="22945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</a:t>
                </a:r>
                <a:r>
                  <a:rPr lang="en-US" baseline="0"/>
                  <a:t> e RF2A = simulado)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9931200"/>
        <c:crosses val="autoZero"/>
        <c:auto val="1"/>
        <c:lblAlgn val="ctr"/>
        <c:lblOffset val="100"/>
        <c:noMultiLvlLbl val="0"/>
      </c:catAx>
      <c:valAx>
        <c:axId val="229931200"/>
        <c:scaling>
          <c:orientation val="minMax"/>
        </c:scaling>
        <c:delete val="0"/>
        <c:axPos val="l"/>
        <c:title>
          <c:tx>
            <c:strRef>
              <c:f>'Avaliação Emergética'!$CT$51:$CV$51</c:f>
              <c:strCache>
                <c:ptCount val="1"/>
                <c:pt idx="0">
                  <c:v>SR Emergia renovável dos serviços da economia seJ/ha 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crossAx val="22945689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Emergética'!$CX$52:$DE$52</c:f>
              <c:numCache>
                <c:formatCode>0.00E+00</c:formatCode>
                <c:ptCount val="8"/>
                <c:pt idx="0">
                  <c:v>2.087763370309414E+16</c:v>
                </c:pt>
                <c:pt idx="1">
                  <c:v>2.8796051181698484E+16</c:v>
                </c:pt>
                <c:pt idx="2">
                  <c:v>3.6714468660302824E+16</c:v>
                </c:pt>
                <c:pt idx="3">
                  <c:v>3.6714468660302824E+16</c:v>
                </c:pt>
                <c:pt idx="4">
                  <c:v>3.6714468660302824E+16</c:v>
                </c:pt>
                <c:pt idx="5">
                  <c:v>3.6714468660302824E+16</c:v>
                </c:pt>
                <c:pt idx="6">
                  <c:v>3.6714468660302824E+16</c:v>
                </c:pt>
                <c:pt idx="7">
                  <c:v>3.6714468660302824E+16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9457408"/>
        <c:axId val="229818368"/>
      </c:barChart>
      <c:catAx>
        <c:axId val="22945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</a:t>
                </a:r>
                <a:r>
                  <a:rPr lang="en-US" baseline="0"/>
                  <a:t> e RF2A = simulado)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9818368"/>
        <c:crosses val="autoZero"/>
        <c:auto val="1"/>
        <c:lblAlgn val="ctr"/>
        <c:lblOffset val="100"/>
        <c:noMultiLvlLbl val="0"/>
      </c:catAx>
      <c:valAx>
        <c:axId val="229818368"/>
        <c:scaling>
          <c:orientation val="minMax"/>
        </c:scaling>
        <c:delete val="0"/>
        <c:axPos val="l"/>
        <c:title>
          <c:tx>
            <c:strRef>
              <c:f>'Avaliação Emergética'!$CT$52:$CV$52</c:f>
              <c:strCache>
                <c:ptCount val="1"/>
                <c:pt idx="0">
                  <c:v>MN Emergia não renovável dos materiais da economia seJ/ha 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crossAx val="22945740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Emergética'!$CX$53:$DE$53</c:f>
              <c:numCache>
                <c:formatCode>0.00E+00</c:formatCode>
                <c:ptCount val="8"/>
                <c:pt idx="0">
                  <c:v>1612220539828834.7</c:v>
                </c:pt>
                <c:pt idx="1">
                  <c:v>1612220539828834.7</c:v>
                </c:pt>
                <c:pt idx="2">
                  <c:v>1612220539828834.7</c:v>
                </c:pt>
                <c:pt idx="3">
                  <c:v>1612220539828834.7</c:v>
                </c:pt>
                <c:pt idx="4">
                  <c:v>1612220539828834.7</c:v>
                </c:pt>
                <c:pt idx="5">
                  <c:v>1612220539828834.7</c:v>
                </c:pt>
                <c:pt idx="6">
                  <c:v>1612220539828834.7</c:v>
                </c:pt>
                <c:pt idx="7">
                  <c:v>1612220539828834.7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101504"/>
        <c:axId val="229820096"/>
      </c:barChart>
      <c:catAx>
        <c:axId val="23010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</a:t>
                </a:r>
                <a:r>
                  <a:rPr lang="en-US" baseline="0"/>
                  <a:t> e RF2A = simulado)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9820096"/>
        <c:crosses val="autoZero"/>
        <c:auto val="1"/>
        <c:lblAlgn val="ctr"/>
        <c:lblOffset val="100"/>
        <c:noMultiLvlLbl val="0"/>
      </c:catAx>
      <c:valAx>
        <c:axId val="229820096"/>
        <c:scaling>
          <c:orientation val="minMax"/>
        </c:scaling>
        <c:delete val="0"/>
        <c:axPos val="l"/>
        <c:title>
          <c:tx>
            <c:strRef>
              <c:f>'Avaliação Emergética'!$CT$53:$CV$53</c:f>
              <c:strCache>
                <c:ptCount val="1"/>
                <c:pt idx="0">
                  <c:v>MR Emergia renovável dos materias da economia seJ/ha 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crossAx val="2301015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Emergética'!$CX$56:$DE$56</c:f>
              <c:numCache>
                <c:formatCode>0.00E+00</c:formatCode>
                <c:ptCount val="8"/>
                <c:pt idx="0">
                  <c:v>4.6915375674476976E+16</c:v>
                </c:pt>
                <c:pt idx="1">
                  <c:v>6.1972413334963496E+16</c:v>
                </c:pt>
                <c:pt idx="2">
                  <c:v>7.8113975153240512E+16</c:v>
                </c:pt>
                <c:pt idx="3">
                  <c:v>8.6317735732488272E+16</c:v>
                </c:pt>
                <c:pt idx="4">
                  <c:v>9.4612884185984512E+16</c:v>
                </c:pt>
                <c:pt idx="5">
                  <c:v>1.2397192750679637E+17</c:v>
                </c:pt>
                <c:pt idx="6">
                  <c:v>1.5744976925427091E+17</c:v>
                </c:pt>
                <c:pt idx="7">
                  <c:v>1.8888468145366154E+17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100992"/>
        <c:axId val="229821824"/>
      </c:barChart>
      <c:catAx>
        <c:axId val="23010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 e RF2A = simulado)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spPr>
          <a:noFill/>
        </c:spPr>
        <c:crossAx val="229821824"/>
        <c:crosses val="autoZero"/>
        <c:auto val="1"/>
        <c:lblAlgn val="ctr"/>
        <c:lblOffset val="100"/>
        <c:noMultiLvlLbl val="0"/>
      </c:catAx>
      <c:valAx>
        <c:axId val="229821824"/>
        <c:scaling>
          <c:orientation val="minMax"/>
        </c:scaling>
        <c:delete val="0"/>
        <c:axPos val="l"/>
        <c:title>
          <c:tx>
            <c:strRef>
              <c:f>'Avaliação Emergética'!$CU$56:$CW$56</c:f>
              <c:strCache>
                <c:ptCount val="1"/>
                <c:pt idx="0">
                  <c:v>Emergia incorporada pelo sistema (Y) = I + F  seJ/ha </c:v>
                </c:pt>
              </c:strCache>
            </c:strRef>
          </c:tx>
          <c:layout/>
          <c:overlay val="0"/>
        </c:title>
        <c:numFmt formatCode="0.0E+00" sourceLinked="0"/>
        <c:majorTickMark val="out"/>
        <c:minorTickMark val="none"/>
        <c:tickLblPos val="nextTo"/>
        <c:crossAx val="23010099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Emergética'!$CX$57:$DE$57</c:f>
              <c:numCache>
                <c:formatCode>0.00E+00</c:formatCode>
                <c:ptCount val="8"/>
                <c:pt idx="0">
                  <c:v>39114.436611835263</c:v>
                </c:pt>
                <c:pt idx="1">
                  <c:v>34445.225376174538</c:v>
                </c:pt>
                <c:pt idx="2">
                  <c:v>32562.716227934827</c:v>
                </c:pt>
                <c:pt idx="3">
                  <c:v>44046.723742649636</c:v>
                </c:pt>
                <c:pt idx="4">
                  <c:v>61786.35917976722</c:v>
                </c:pt>
                <c:pt idx="5">
                  <c:v>39537.647596965217</c:v>
                </c:pt>
                <c:pt idx="6">
                  <c:v>29263.074805796685</c:v>
                </c:pt>
                <c:pt idx="7">
                  <c:v>34624.120429388298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102016"/>
        <c:axId val="229824128"/>
      </c:barChart>
      <c:catAx>
        <c:axId val="23010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 e RF2A = simulado)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spPr>
          <a:noFill/>
        </c:spPr>
        <c:crossAx val="229824128"/>
        <c:crosses val="autoZero"/>
        <c:auto val="1"/>
        <c:lblAlgn val="ctr"/>
        <c:lblOffset val="100"/>
        <c:noMultiLvlLbl val="0"/>
      </c:catAx>
      <c:valAx>
        <c:axId val="229824128"/>
        <c:scaling>
          <c:orientation val="minMax"/>
        </c:scaling>
        <c:delete val="0"/>
        <c:axPos val="l"/>
        <c:title>
          <c:tx>
            <c:strRef>
              <c:f>'Avaliação Emergética'!$CU$57:$CW$57</c:f>
              <c:strCache>
                <c:ptCount val="1"/>
                <c:pt idx="0">
                  <c:v>Transformidade (Tr) = Y / E seJ/ha </c:v>
                </c:pt>
              </c:strCache>
            </c:strRef>
          </c:tx>
          <c:layout/>
          <c:overlay val="0"/>
        </c:title>
        <c:numFmt formatCode="0.0E+00" sourceLinked="0"/>
        <c:majorTickMark val="out"/>
        <c:minorTickMark val="none"/>
        <c:tickLblPos val="nextTo"/>
        <c:crossAx val="23010201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Emergética'!$CX$58:$DE$58</c:f>
              <c:numCache>
                <c:formatCode>_(* #,##0.00_);_(* \(#,##0.00\);_(* "-"??_);_(@_)</c:formatCode>
                <c:ptCount val="8"/>
                <c:pt idx="0">
                  <c:v>30.748680485578234</c:v>
                </c:pt>
                <c:pt idx="1">
                  <c:v>30.691520928176065</c:v>
                </c:pt>
                <c:pt idx="2">
                  <c:v>31.619460616842577</c:v>
                </c:pt>
                <c:pt idx="3">
                  <c:v>38.018349196253673</c:v>
                </c:pt>
                <c:pt idx="4">
                  <c:v>43.361247250351077</c:v>
                </c:pt>
                <c:pt idx="5">
                  <c:v>56.635055512495605</c:v>
                </c:pt>
                <c:pt idx="6">
                  <c:v>65.745800836130172</c:v>
                </c:pt>
                <c:pt idx="7">
                  <c:v>71.355031478989943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102528"/>
        <c:axId val="229825856"/>
      </c:barChart>
      <c:catAx>
        <c:axId val="23010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 e RF2A = simulado)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spPr>
          <a:noFill/>
        </c:spPr>
        <c:crossAx val="229825856"/>
        <c:crosses val="autoZero"/>
        <c:auto val="1"/>
        <c:lblAlgn val="ctr"/>
        <c:lblOffset val="100"/>
        <c:noMultiLvlLbl val="0"/>
      </c:catAx>
      <c:valAx>
        <c:axId val="229825856"/>
        <c:scaling>
          <c:orientation val="minMax"/>
        </c:scaling>
        <c:delete val="0"/>
        <c:axPos val="l"/>
        <c:title>
          <c:tx>
            <c:strRef>
              <c:f>'Avaliação Emergética'!$CU$58:$CW$58</c:f>
              <c:strCache>
                <c:ptCount val="1"/>
                <c:pt idx="0">
                  <c:v>Renovabilidade Emergética %R = ((IR+MR+SR) / Y) * 100 %</c:v>
                </c:pt>
              </c:strCache>
            </c:strRef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3010252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Emergética'!$CX$59:$DE$59</c:f>
              <c:numCache>
                <c:formatCode>_(* #,##0.00_);_(* \(#,##0.00\);_(* "-"??_);_(@_)</c:formatCode>
                <c:ptCount val="8"/>
                <c:pt idx="0">
                  <c:v>2.1872063034359885</c:v>
                </c:pt>
                <c:pt idx="1">
                  <c:v>2.1843847378722776</c:v>
                </c:pt>
                <c:pt idx="2">
                  <c:v>2.0890582232256416</c:v>
                </c:pt>
                <c:pt idx="3">
                  <c:v>1.5773357602058622</c:v>
                </c:pt>
                <c:pt idx="4">
                  <c:v>1.264212573512741</c:v>
                </c:pt>
                <c:pt idx="5">
                  <c:v>0.74251836501745172</c:v>
                </c:pt>
                <c:pt idx="6">
                  <c:v>0.50492350144659215</c:v>
                </c:pt>
                <c:pt idx="7">
                  <c:v>0.38826572352341704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103040"/>
        <c:axId val="230490688"/>
      </c:barChart>
      <c:catAx>
        <c:axId val="23010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 e RF2A = simulado)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spPr>
          <a:noFill/>
        </c:spPr>
        <c:crossAx val="230490688"/>
        <c:crosses val="autoZero"/>
        <c:auto val="1"/>
        <c:lblAlgn val="ctr"/>
        <c:lblOffset val="100"/>
        <c:noMultiLvlLbl val="0"/>
      </c:catAx>
      <c:valAx>
        <c:axId val="230490688"/>
        <c:scaling>
          <c:orientation val="minMax"/>
        </c:scaling>
        <c:delete val="0"/>
        <c:axPos val="l"/>
        <c:title>
          <c:tx>
            <c:strRef>
              <c:f>'Avaliação Emergética'!$CU$59:$CV$59</c:f>
              <c:strCache>
                <c:ptCount val="1"/>
                <c:pt idx="0">
                  <c:v>Investimento emergético EIR = FN / (I + FR)</c:v>
                </c:pt>
              </c:strCache>
            </c:strRef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3010304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50057021048298"/>
          <c:y val="7.9062773403324571E-2"/>
          <c:w val="0.77747967293733056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'1 Sol'!$B$14:$B$27</c:f>
              <c:strCache>
                <c:ptCount val="14"/>
                <c:pt idx="0">
                  <c:v>C1,5A</c:v>
                </c:pt>
                <c:pt idx="1">
                  <c:v>RF1,5A</c:v>
                </c:pt>
                <c:pt idx="2">
                  <c:v>C5A</c:v>
                </c:pt>
                <c:pt idx="3">
                  <c:v>RF5A</c:v>
                </c:pt>
                <c:pt idx="4">
                  <c:v>C8A</c:v>
                </c:pt>
                <c:pt idx="5">
                  <c:v>RF8A</c:v>
                </c:pt>
                <c:pt idx="6">
                  <c:v>C14A</c:v>
                </c:pt>
                <c:pt idx="7">
                  <c:v>RF14A</c:v>
                </c:pt>
                <c:pt idx="8">
                  <c:v>C20A</c:v>
                </c:pt>
                <c:pt idx="9">
                  <c:v>RF20A</c:v>
                </c:pt>
                <c:pt idx="10">
                  <c:v>C26A</c:v>
                </c:pt>
                <c:pt idx="11">
                  <c:v>RF26A</c:v>
                </c:pt>
                <c:pt idx="12">
                  <c:v>CFN</c:v>
                </c:pt>
                <c:pt idx="13">
                  <c:v>FN</c:v>
                </c:pt>
              </c:strCache>
            </c:strRef>
          </c:cat>
          <c:val>
            <c:numRef>
              <c:f>'2 Chuva'!$K$4:$K$17</c:f>
              <c:numCache>
                <c:formatCode>0.00E+00</c:formatCode>
                <c:ptCount val="14"/>
                <c:pt idx="0">
                  <c:v>66541800000</c:v>
                </c:pt>
                <c:pt idx="1">
                  <c:v>99812700000</c:v>
                </c:pt>
                <c:pt idx="2">
                  <c:v>66541800000</c:v>
                </c:pt>
                <c:pt idx="3">
                  <c:v>332709000000</c:v>
                </c:pt>
                <c:pt idx="4">
                  <c:v>66541800000</c:v>
                </c:pt>
                <c:pt idx="5">
                  <c:v>532334400000</c:v>
                </c:pt>
                <c:pt idx="6">
                  <c:v>66541800000</c:v>
                </c:pt>
                <c:pt idx="7">
                  <c:v>931585200000</c:v>
                </c:pt>
                <c:pt idx="8">
                  <c:v>66541800000</c:v>
                </c:pt>
                <c:pt idx="9">
                  <c:v>1330836000000</c:v>
                </c:pt>
                <c:pt idx="10">
                  <c:v>66541800000</c:v>
                </c:pt>
                <c:pt idx="11">
                  <c:v>1730086800000</c:v>
                </c:pt>
                <c:pt idx="12">
                  <c:v>66541800000</c:v>
                </c:pt>
                <c:pt idx="13">
                  <c:v>13308360000000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816576"/>
        <c:axId val="226342528"/>
      </c:barChart>
      <c:catAx>
        <c:axId val="22581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6342528"/>
        <c:crosses val="autoZero"/>
        <c:auto val="1"/>
        <c:lblAlgn val="ctr"/>
        <c:lblOffset val="100"/>
        <c:noMultiLvlLbl val="0"/>
      </c:catAx>
      <c:valAx>
        <c:axId val="226342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Energia pluvial (J/ha.Inv.)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225816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Emergética'!$CX$60:$DE$60</c:f>
              <c:numCache>
                <c:formatCode>_(* #,##0.00_);_(* \(#,##0.00\);_(* "-"??_);_(@_)</c:formatCode>
                <c:ptCount val="8"/>
                <c:pt idx="0">
                  <c:v>1.2135946669613238</c:v>
                </c:pt>
                <c:pt idx="1">
                  <c:v>1.2394197136583409</c:v>
                </c:pt>
                <c:pt idx="2">
                  <c:v>1.2733736452365469</c:v>
                </c:pt>
                <c:pt idx="3">
                  <c:v>1.4071071096128154</c:v>
                </c:pt>
                <c:pt idx="4">
                  <c:v>1.5423303318759909</c:v>
                </c:pt>
                <c:pt idx="5">
                  <c:v>2.0209262801776822</c:v>
                </c:pt>
                <c:pt idx="6">
                  <c:v>2.5666647513923997</c:v>
                </c:pt>
                <c:pt idx="7">
                  <c:v>3.0791004411201714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103552"/>
        <c:axId val="230492416"/>
      </c:barChart>
      <c:catAx>
        <c:axId val="23010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 e RF2A = simulado)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30492416"/>
        <c:crosses val="autoZero"/>
        <c:auto val="1"/>
        <c:lblAlgn val="ctr"/>
        <c:lblOffset val="100"/>
        <c:noMultiLvlLbl val="0"/>
      </c:catAx>
      <c:valAx>
        <c:axId val="230492416"/>
        <c:scaling>
          <c:orientation val="minMax"/>
        </c:scaling>
        <c:delete val="0"/>
        <c:axPos val="l"/>
        <c:title>
          <c:tx>
            <c:strRef>
              <c:f>'Avaliação Emergética'!$CU$60:$CV$60</c:f>
              <c:strCache>
                <c:ptCount val="1"/>
                <c:pt idx="0">
                  <c:v>Rendimento emergético EYR = Y / F</c:v>
                </c:pt>
              </c:strCache>
            </c:strRef>
          </c:tx>
          <c:overlay val="0"/>
        </c:title>
        <c:numFmt formatCode="#,##0.0" sourceLinked="0"/>
        <c:majorTickMark val="out"/>
        <c:minorTickMark val="none"/>
        <c:tickLblPos val="nextTo"/>
        <c:crossAx val="23010355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Emergética'!$CX$61:$DE$61</c:f>
              <c:numCache>
                <c:formatCode>_(* #,##0.00_);_(* \(#,##0.00\);_(* "-"??_);_(@_)</c:formatCode>
                <c:ptCount val="8"/>
                <c:pt idx="0">
                  <c:v>2.2521720744050158</c:v>
                </c:pt>
                <c:pt idx="1">
                  <c:v>2.2582288845840779</c:v>
                </c:pt>
                <c:pt idx="2">
                  <c:v>2.1626092934277796</c:v>
                </c:pt>
                <c:pt idx="3">
                  <c:v>1.6303088407072126</c:v>
                </c:pt>
                <c:pt idx="4">
                  <c:v>1.3062067246967932</c:v>
                </c:pt>
                <c:pt idx="5">
                  <c:v>0.76569086222466276</c:v>
                </c:pt>
                <c:pt idx="6">
                  <c:v>0.52100968774032574</c:v>
                </c:pt>
                <c:pt idx="7">
                  <c:v>0.40144286853050271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104064"/>
        <c:axId val="230494144"/>
      </c:barChart>
      <c:catAx>
        <c:axId val="2301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 e RF2A = simulado)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spPr>
          <a:noFill/>
        </c:spPr>
        <c:crossAx val="230494144"/>
        <c:crosses val="autoZero"/>
        <c:auto val="1"/>
        <c:lblAlgn val="ctr"/>
        <c:lblOffset val="100"/>
        <c:noMultiLvlLbl val="0"/>
      </c:catAx>
      <c:valAx>
        <c:axId val="230494144"/>
        <c:scaling>
          <c:orientation val="minMax"/>
        </c:scaling>
        <c:delete val="0"/>
        <c:axPos val="l"/>
        <c:title>
          <c:tx>
            <c:strRef>
              <c:f>'Avaliação Emergética'!$CU$61:$CV$61</c:f>
              <c:strCache>
                <c:ptCount val="1"/>
                <c:pt idx="0">
                  <c:v>Taxa de carga ambiental ELR = (IN+FN) / (IR+FR)</c:v>
                </c:pt>
              </c:strCache>
            </c:strRef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3010406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'Avaliação Emergética'!$CX$41:$DE$41</c:f>
              <c:strCache>
                <c:ptCount val="8"/>
                <c:pt idx="0">
                  <c:v>RF1A</c:v>
                </c:pt>
                <c:pt idx="1">
                  <c:v>RF1,5A</c:v>
                </c:pt>
                <c:pt idx="2">
                  <c:v>RF2A</c:v>
                </c:pt>
                <c:pt idx="3">
                  <c:v>RF5A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RF26A</c:v>
                </c:pt>
              </c:strCache>
            </c:strRef>
          </c:cat>
          <c:val>
            <c:numRef>
              <c:f>'Avaliação Emergética'!$CX$62:$DE$62</c:f>
              <c:numCache>
                <c:formatCode>_(* #,##0.00_);_(* \(#,##0.00\);_(* "-"??_);_(@_)</c:formatCode>
                <c:ptCount val="8"/>
                <c:pt idx="0">
                  <c:v>0.24509866249478382</c:v>
                </c:pt>
                <c:pt idx="1">
                  <c:v>0.26844279225611839</c:v>
                </c:pt>
                <c:pt idx="2">
                  <c:v>0.30294568502404895</c:v>
                </c:pt>
                <c:pt idx="3">
                  <c:v>0.45417953572151087</c:v>
                </c:pt>
                <c:pt idx="4">
                  <c:v>0.60663110687199207</c:v>
                </c:pt>
                <c:pt idx="5">
                  <c:v>1.1475764947827993</c:v>
                </c:pt>
                <c:pt idx="6">
                  <c:v>1.7614241172315324</c:v>
                </c:pt>
                <c:pt idx="7">
                  <c:v>2.3335928675414093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104576"/>
        <c:axId val="230495872"/>
      </c:barChart>
      <c:catAx>
        <c:axId val="23010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(RF1A e RF2A = simulado)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30495872"/>
        <c:crosses val="autoZero"/>
        <c:auto val="1"/>
        <c:lblAlgn val="ctr"/>
        <c:lblOffset val="100"/>
        <c:noMultiLvlLbl val="0"/>
      </c:catAx>
      <c:valAx>
        <c:axId val="230495872"/>
        <c:scaling>
          <c:orientation val="minMax"/>
        </c:scaling>
        <c:delete val="0"/>
        <c:axPos val="l"/>
        <c:title>
          <c:tx>
            <c:strRef>
              <c:f>'Avaliação Emergética'!$CU$62:$CV$62</c:f>
              <c:strCache>
                <c:ptCount val="1"/>
                <c:pt idx="0">
                  <c:v>Sustentabilidade emergética ESI = IR / (IN + FN)</c:v>
                </c:pt>
              </c:strCache>
            </c:strRef>
          </c:tx>
          <c:overlay val="0"/>
        </c:title>
        <c:numFmt formatCode="#,##0.0" sourceLinked="0"/>
        <c:majorTickMark val="out"/>
        <c:minorTickMark val="none"/>
        <c:tickLblPos val="nextTo"/>
        <c:crossAx val="23010457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bens '!$B$61:$B$67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bens '!$D$61:$D$67</c:f>
              <c:numCache>
                <c:formatCode>_(* #,##0.00_);_(* \(#,##0.00\);_(* "-"??_);_(@_)</c:formatCode>
                <c:ptCount val="7"/>
                <c:pt idx="0">
                  <c:v>12.506465034965037</c:v>
                </c:pt>
                <c:pt idx="1">
                  <c:v>98.07973193473191</c:v>
                </c:pt>
                <c:pt idx="2">
                  <c:v>0.57404195804195801</c:v>
                </c:pt>
                <c:pt idx="3">
                  <c:v>100.31791375291375</c:v>
                </c:pt>
                <c:pt idx="4">
                  <c:v>1906.0289277389279</c:v>
                </c:pt>
                <c:pt idx="5">
                  <c:v>926.52730303030296</c:v>
                </c:pt>
                <c:pt idx="6">
                  <c:v>4489.084484848484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667776"/>
        <c:axId val="230497600"/>
      </c:barChart>
      <c:catAx>
        <c:axId val="23066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                                                          (FN</a:t>
                </a:r>
                <a:r>
                  <a:rPr lang="en-US" baseline="0"/>
                  <a:t> x</a:t>
                </a:r>
                <a:r>
                  <a:rPr lang="en-US"/>
                  <a:t>10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crossAx val="230497600"/>
        <c:crosses val="autoZero"/>
        <c:auto val="1"/>
        <c:lblAlgn val="ctr"/>
        <c:lblOffset val="100"/>
        <c:noMultiLvlLbl val="0"/>
      </c:catAx>
      <c:valAx>
        <c:axId val="230497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Nutrientes do solo restaurados (EmUS$/ha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[$$-409]#,##0.0" sourceLinked="0"/>
        <c:majorTickMark val="out"/>
        <c:minorTickMark val="none"/>
        <c:tickLblPos val="nextTo"/>
        <c:crossAx val="230667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bens '!$B$71:$B$77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bens '!$F$71:$F$77</c:f>
              <c:numCache>
                <c:formatCode>_(* #,##0.00_);_(* \(#,##0.00\);_(* "-"??_);_(@_)</c:formatCode>
                <c:ptCount val="7"/>
                <c:pt idx="0">
                  <c:v>153.46781641684876</c:v>
                </c:pt>
                <c:pt idx="1">
                  <c:v>557.20256896902038</c:v>
                </c:pt>
                <c:pt idx="2">
                  <c:v>696.63347684202802</c:v>
                </c:pt>
                <c:pt idx="3">
                  <c:v>2496.3026620771329</c:v>
                </c:pt>
                <c:pt idx="4">
                  <c:v>6119.3986082537322</c:v>
                </c:pt>
                <c:pt idx="5">
                  <c:v>8065.8104766156894</c:v>
                </c:pt>
                <c:pt idx="6">
                  <c:v>9275.0936707350393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8511744"/>
        <c:axId val="230721792"/>
      </c:barChart>
      <c:catAx>
        <c:axId val="22851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                                                          (FN</a:t>
                </a:r>
                <a:r>
                  <a:rPr lang="en-US" baseline="0"/>
                  <a:t> x</a:t>
                </a:r>
                <a:r>
                  <a:rPr lang="en-US"/>
                  <a:t>10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crossAx val="230721792"/>
        <c:crosses val="autoZero"/>
        <c:auto val="1"/>
        <c:lblAlgn val="ctr"/>
        <c:lblOffset val="100"/>
        <c:noMultiLvlLbl val="0"/>
      </c:catAx>
      <c:valAx>
        <c:axId val="23072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Biomassa arbórea restaurada (EmUS$/ha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[$$-1409]#,##0.0" sourceLinked="0"/>
        <c:majorTickMark val="out"/>
        <c:minorTickMark val="none"/>
        <c:tickLblPos val="nextTo"/>
        <c:crossAx val="2285117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bens '!$B$83:$B$89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bens '!$F$83:$F$89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29939.39393939394</c:v>
                </c:pt>
                <c:pt idx="2">
                  <c:v>74848.484848484848</c:v>
                </c:pt>
                <c:pt idx="3">
                  <c:v>164666.66666666666</c:v>
                </c:pt>
                <c:pt idx="4">
                  <c:v>179636.36363636365</c:v>
                </c:pt>
                <c:pt idx="5">
                  <c:v>314363.63636363635</c:v>
                </c:pt>
                <c:pt idx="6">
                  <c:v>404181.81818181818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8512256"/>
        <c:axId val="230723520"/>
      </c:barChart>
      <c:catAx>
        <c:axId val="22851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                                                                   </a:t>
                </a:r>
                <a:r>
                  <a:rPr lang="en-US">
                    <a:solidFill>
                      <a:schemeClr val="bg1"/>
                    </a:solidFill>
                  </a:rPr>
                  <a:t>.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crossAx val="230723520"/>
        <c:crosses val="autoZero"/>
        <c:auto val="1"/>
        <c:lblAlgn val="ctr"/>
        <c:lblOffset val="100"/>
        <c:noMultiLvlLbl val="0"/>
      </c:catAx>
      <c:valAx>
        <c:axId val="230723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Riqueza </a:t>
                </a:r>
                <a:r>
                  <a:rPr lang="en-US" baseline="0"/>
                  <a:t>(flora)</a:t>
                </a:r>
                <a:r>
                  <a:rPr lang="en-US"/>
                  <a:t> restaurada (EmUS$/ha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[$$-1009]#,##0.0" sourceLinked="0"/>
        <c:majorTickMark val="out"/>
        <c:minorTickMark val="none"/>
        <c:tickLblPos val="nextTo"/>
        <c:crossAx val="228512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bens '!$B$95:$B$101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bens '!$G$95:$G$101</c:f>
              <c:numCache>
                <c:formatCode>_(* #,##0.00_);_(* \(#,##0.00\);_(* "-"??_);_(@_)</c:formatCode>
                <c:ptCount val="7"/>
                <c:pt idx="0">
                  <c:v>-12.003121002041674</c:v>
                </c:pt>
                <c:pt idx="1">
                  <c:v>151.067317284263</c:v>
                </c:pt>
                <c:pt idx="2">
                  <c:v>257.26315418706162</c:v>
                </c:pt>
                <c:pt idx="3">
                  <c:v>1049.0952113186331</c:v>
                </c:pt>
                <c:pt idx="4">
                  <c:v>2315.3683876835516</c:v>
                </c:pt>
                <c:pt idx="5">
                  <c:v>4927.1876890873109</c:v>
                </c:pt>
                <c:pt idx="6">
                  <c:v>4969.69696969697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8512768"/>
        <c:axId val="230725248"/>
      </c:barChart>
      <c:catAx>
        <c:axId val="22851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                                                           FN x5</a:t>
                </a:r>
                <a:endParaRPr lang="en-US">
                  <a:solidFill>
                    <a:schemeClr val="bg1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crossAx val="230725248"/>
        <c:crosses val="autoZero"/>
        <c:auto val="1"/>
        <c:lblAlgn val="ctr"/>
        <c:lblOffset val="100"/>
        <c:noMultiLvlLbl val="0"/>
      </c:catAx>
      <c:valAx>
        <c:axId val="23072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Estrutura do solo restaurada (EmUS$/ha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[$$-1009]#,##0.0" sourceLinked="0"/>
        <c:majorTickMark val="out"/>
        <c:minorTickMark val="none"/>
        <c:tickLblPos val="nextTo"/>
        <c:crossAx val="228512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Áreas de estudo  - somatória dos bens = EmUS$/ha </a:t>
            </a:r>
          </a:p>
        </c:rich>
      </c:tx>
      <c:layout>
        <c:manualLayout>
          <c:xMode val="edge"/>
          <c:yMode val="edge"/>
          <c:x val="0.13213231817097243"/>
          <c:y val="0.8488262910798122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7905837673520076E-2"/>
          <c:y val="0.12696728401907509"/>
          <c:w val="0.94418832465295988"/>
          <c:h val="0.637495693320025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bens '!$B$61:$B$67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bens '!$V$70:$V$76</c:f>
              <c:numCache>
                <c:formatCode>[$$-540A]#,##0.00</c:formatCode>
                <c:ptCount val="7"/>
                <c:pt idx="0">
                  <c:v>153.97116044977213</c:v>
                </c:pt>
                <c:pt idx="1">
                  <c:v>806.34961818801526</c:v>
                </c:pt>
                <c:pt idx="2">
                  <c:v>954.47067298713159</c:v>
                </c:pt>
                <c:pt idx="3">
                  <c:v>3645.7157871486797</c:v>
                </c:pt>
                <c:pt idx="4">
                  <c:v>10340.795923676211</c:v>
                </c:pt>
                <c:pt idx="5">
                  <c:v>13919.525468733304</c:v>
                </c:pt>
                <c:pt idx="6">
                  <c:v>18733.875125280494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0669312"/>
        <c:axId val="230726976"/>
      </c:barChart>
      <c:catAx>
        <c:axId val="2306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</c:spPr>
        <c:crossAx val="230726976"/>
        <c:crosses val="autoZero"/>
        <c:auto val="1"/>
        <c:lblAlgn val="ctr"/>
        <c:lblOffset val="100"/>
        <c:noMultiLvlLbl val="0"/>
      </c:catAx>
      <c:valAx>
        <c:axId val="230726976"/>
        <c:scaling>
          <c:orientation val="minMax"/>
        </c:scaling>
        <c:delete val="1"/>
        <c:axPos val="l"/>
        <c:numFmt formatCode="[$$-409]#,##0.0" sourceLinked="0"/>
        <c:majorTickMark val="out"/>
        <c:minorTickMark val="none"/>
        <c:tickLblPos val="nextTo"/>
        <c:crossAx val="230669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Áreas de estudo  - somatória dos bens = EmUS$/ha </a:t>
            </a:r>
          </a:p>
        </c:rich>
      </c:tx>
      <c:layout>
        <c:manualLayout>
          <c:xMode val="edge"/>
          <c:yMode val="edge"/>
          <c:x val="0.13213231817097243"/>
          <c:y val="0.8488262910798122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7905837673520076E-2"/>
          <c:y val="0.12696728401907509"/>
          <c:w val="0.94418832465295988"/>
          <c:h val="0.637495693320025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bens '!$B$61:$B$67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bens '!$U$70:$U$76</c:f>
              <c:numCache>
                <c:formatCode>[$$-540A]#,##0.00</c:formatCode>
                <c:ptCount val="7"/>
                <c:pt idx="0">
                  <c:v>153.97116044977213</c:v>
                </c:pt>
                <c:pt idx="1">
                  <c:v>30745.743557581955</c:v>
                </c:pt>
                <c:pt idx="2">
                  <c:v>75802.955521471988</c:v>
                </c:pt>
                <c:pt idx="3">
                  <c:v>168312.38245381534</c:v>
                </c:pt>
                <c:pt idx="4">
                  <c:v>189977.15956003987</c:v>
                </c:pt>
                <c:pt idx="5">
                  <c:v>328283.16183236963</c:v>
                </c:pt>
                <c:pt idx="6">
                  <c:v>422915.69330709864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8513280"/>
        <c:axId val="230859904"/>
      </c:barChart>
      <c:catAx>
        <c:axId val="22851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</c:spPr>
        <c:crossAx val="230859904"/>
        <c:crosses val="autoZero"/>
        <c:auto val="1"/>
        <c:lblAlgn val="ctr"/>
        <c:lblOffset val="100"/>
        <c:noMultiLvlLbl val="0"/>
      </c:catAx>
      <c:valAx>
        <c:axId val="230859904"/>
        <c:scaling>
          <c:orientation val="minMax"/>
        </c:scaling>
        <c:delete val="1"/>
        <c:axPos val="l"/>
        <c:numFmt formatCode="[$$-409]#,##0.0" sourceLinked="0"/>
        <c:majorTickMark val="out"/>
        <c:minorTickMark val="none"/>
        <c:tickLblPos val="nextTo"/>
        <c:crossAx val="228513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 serviços '!$B$36:$B$42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 serviços '!$F$36:$F$42</c:f>
              <c:numCache>
                <c:formatCode>_(* #,##0.00_);_(* \(#,##0.00\);_(* "-"??_);_(@_)</c:formatCode>
                <c:ptCount val="7"/>
                <c:pt idx="0">
                  <c:v>90.004090909090905</c:v>
                </c:pt>
                <c:pt idx="1">
                  <c:v>112.65818181818182</c:v>
                </c:pt>
                <c:pt idx="2">
                  <c:v>131.02636363636364</c:v>
                </c:pt>
                <c:pt idx="3">
                  <c:v>163.47681818181817</c:v>
                </c:pt>
                <c:pt idx="4">
                  <c:v>191.64136363636365</c:v>
                </c:pt>
                <c:pt idx="5">
                  <c:v>214.90772727272727</c:v>
                </c:pt>
                <c:pt idx="6">
                  <c:v>353.89363636363629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8513792"/>
        <c:axId val="230861632"/>
      </c:barChart>
      <c:catAx>
        <c:axId val="22851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                                                           </a:t>
                </a:r>
                <a:r>
                  <a:rPr lang="en-US">
                    <a:solidFill>
                      <a:schemeClr val="bg1"/>
                    </a:solidFill>
                  </a:rPr>
                  <a:t>FN x5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crossAx val="230861632"/>
        <c:crosses val="autoZero"/>
        <c:auto val="1"/>
        <c:lblAlgn val="ctr"/>
        <c:lblOffset val="100"/>
        <c:noMultiLvlLbl val="0"/>
      </c:catAx>
      <c:valAx>
        <c:axId val="230861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Percolação de água restaurada (EmUS$/ha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[$$-409]#,##0.0" sourceLinked="0"/>
        <c:majorTickMark val="out"/>
        <c:minorTickMark val="none"/>
        <c:tickLblPos val="nextTo"/>
        <c:crossAx val="228513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50057021048298"/>
          <c:y val="7.9062773403324571E-2"/>
          <c:w val="0.77747967293733056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'1 Sol'!$B$14:$B$27</c:f>
              <c:strCache>
                <c:ptCount val="14"/>
                <c:pt idx="0">
                  <c:v>C1,5A</c:v>
                </c:pt>
                <c:pt idx="1">
                  <c:v>RF1,5A</c:v>
                </c:pt>
                <c:pt idx="2">
                  <c:v>C5A</c:v>
                </c:pt>
                <c:pt idx="3">
                  <c:v>RF5A</c:v>
                </c:pt>
                <c:pt idx="4">
                  <c:v>C8A</c:v>
                </c:pt>
                <c:pt idx="5">
                  <c:v>RF8A</c:v>
                </c:pt>
                <c:pt idx="6">
                  <c:v>C14A</c:v>
                </c:pt>
                <c:pt idx="7">
                  <c:v>RF14A</c:v>
                </c:pt>
                <c:pt idx="8">
                  <c:v>C20A</c:v>
                </c:pt>
                <c:pt idx="9">
                  <c:v>RF20A</c:v>
                </c:pt>
                <c:pt idx="10">
                  <c:v>C26A</c:v>
                </c:pt>
                <c:pt idx="11">
                  <c:v>RF26A</c:v>
                </c:pt>
                <c:pt idx="12">
                  <c:v>CFN</c:v>
                </c:pt>
                <c:pt idx="13">
                  <c:v>FN</c:v>
                </c:pt>
              </c:strCache>
            </c:strRef>
          </c:cat>
          <c:val>
            <c:numRef>
              <c:f>'2 Chuva'!$J$4:$J$17</c:f>
              <c:numCache>
                <c:formatCode>0.00E+00</c:formatCode>
                <c:ptCount val="14"/>
                <c:pt idx="0">
                  <c:v>66541800000</c:v>
                </c:pt>
                <c:pt idx="1">
                  <c:v>66541800000</c:v>
                </c:pt>
                <c:pt idx="2">
                  <c:v>66541800000</c:v>
                </c:pt>
                <c:pt idx="3">
                  <c:v>66541800000</c:v>
                </c:pt>
                <c:pt idx="4">
                  <c:v>66541800000</c:v>
                </c:pt>
                <c:pt idx="5">
                  <c:v>66541800000</c:v>
                </c:pt>
                <c:pt idx="6">
                  <c:v>66541800000</c:v>
                </c:pt>
                <c:pt idx="7">
                  <c:v>66541800000</c:v>
                </c:pt>
                <c:pt idx="8">
                  <c:v>66541800000</c:v>
                </c:pt>
                <c:pt idx="9">
                  <c:v>66541800000</c:v>
                </c:pt>
                <c:pt idx="10">
                  <c:v>66541800000</c:v>
                </c:pt>
                <c:pt idx="11">
                  <c:v>66541800000</c:v>
                </c:pt>
                <c:pt idx="12">
                  <c:v>66541800000</c:v>
                </c:pt>
                <c:pt idx="13">
                  <c:v>66541800000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6244096"/>
        <c:axId val="61825024"/>
      </c:barChart>
      <c:catAx>
        <c:axId val="22624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61825024"/>
        <c:crosses val="autoZero"/>
        <c:auto val="1"/>
        <c:lblAlgn val="ctr"/>
        <c:lblOffset val="100"/>
        <c:noMultiLvlLbl val="0"/>
      </c:catAx>
      <c:valAx>
        <c:axId val="61825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Energia pluvial (J/ha.ano)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226244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 serviços '!$B$48:$B$54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 serviços '!$F$48:$F$54</c:f>
              <c:numCache>
                <c:formatCode>_(* #,##0.00_);_(* \(#,##0.00\);_(* "-"??_);_(@_)</c:formatCode>
                <c:ptCount val="7"/>
                <c:pt idx="0">
                  <c:v>154.92941466843777</c:v>
                </c:pt>
                <c:pt idx="1">
                  <c:v>168.75277803061761</c:v>
                </c:pt>
                <c:pt idx="2">
                  <c:v>131.86276525938388</c:v>
                </c:pt>
                <c:pt idx="3">
                  <c:v>270.00824712262897</c:v>
                </c:pt>
                <c:pt idx="4">
                  <c:v>463.32589462492592</c:v>
                </c:pt>
                <c:pt idx="5">
                  <c:v>469.76698380289253</c:v>
                </c:pt>
                <c:pt idx="6">
                  <c:v>1088.4038491168692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8515328"/>
        <c:axId val="230863360"/>
      </c:barChart>
      <c:catAx>
        <c:axId val="22851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                                                           </a:t>
                </a:r>
                <a:r>
                  <a:rPr lang="en-US">
                    <a:solidFill>
                      <a:schemeClr val="bg1"/>
                    </a:solidFill>
                  </a:rPr>
                  <a:t>FN x5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crossAx val="230863360"/>
        <c:crosses val="autoZero"/>
        <c:auto val="1"/>
        <c:lblAlgn val="ctr"/>
        <c:lblOffset val="100"/>
        <c:noMultiLvlLbl val="0"/>
      </c:catAx>
      <c:valAx>
        <c:axId val="230863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Fixação</a:t>
                </a:r>
                <a:r>
                  <a:rPr lang="en-US" baseline="0"/>
                  <a:t> de C na biomassa restaurado</a:t>
                </a:r>
                <a:r>
                  <a:rPr lang="en-US"/>
                  <a:t> (EmUS$/ha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[$$-4809]#,##0.0" sourceLinked="0"/>
        <c:majorTickMark val="out"/>
        <c:minorTickMark val="none"/>
        <c:tickLblPos val="nextTo"/>
        <c:crossAx val="228515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 serviços '!$B$59:$B$65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 serviços '!$F$59:$F$65</c:f>
              <c:numCache>
                <c:formatCode>_(* #,##0.00_);_(* \(#,##0.00\);_(* "-"??_);_(@_)</c:formatCode>
                <c:ptCount val="7"/>
                <c:pt idx="0">
                  <c:v>13.668489976689967</c:v>
                </c:pt>
                <c:pt idx="1">
                  <c:v>98.490348873348808</c:v>
                </c:pt>
                <c:pt idx="2">
                  <c:v>141.17249665889656</c:v>
                </c:pt>
                <c:pt idx="3">
                  <c:v>349.51480481740373</c:v>
                </c:pt>
                <c:pt idx="4">
                  <c:v>493.97696658896507</c:v>
                </c:pt>
                <c:pt idx="5">
                  <c:v>694.99820808080619</c:v>
                </c:pt>
                <c:pt idx="6">
                  <c:v>3762.0732929292844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948864"/>
        <c:axId val="230865088"/>
      </c:barChart>
      <c:catAx>
        <c:axId val="23094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                                                           </a:t>
                </a:r>
                <a:r>
                  <a:rPr lang="en-US">
                    <a:solidFill>
                      <a:schemeClr val="bg1"/>
                    </a:solidFill>
                  </a:rPr>
                  <a:t>FN x5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crossAx val="230865088"/>
        <c:crosses val="autoZero"/>
        <c:auto val="1"/>
        <c:lblAlgn val="ctr"/>
        <c:lblOffset val="100"/>
        <c:noMultiLvlLbl val="0"/>
      </c:catAx>
      <c:valAx>
        <c:axId val="230865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Aporte de nutrientes e biomassa no solo restaurado</a:t>
                </a:r>
                <a:r>
                  <a:rPr lang="en-US"/>
                  <a:t> (EmUS$/ha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[$$-409]#,##0.0" sourceLinked="0"/>
        <c:majorTickMark val="out"/>
        <c:minorTickMark val="none"/>
        <c:tickLblPos val="nextTo"/>
        <c:crossAx val="230948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98770210220897"/>
          <c:y val="7.9062773403324571E-2"/>
          <c:w val="0.73199282293103196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 serviços '!$B$70:$B$76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 serviços '!$F$70:$F$76</c:f>
              <c:numCache>
                <c:formatCode>_-* #,##0.0000000000_-;\-* #,##0.0000000000_-;_-* "-"??_-;_-@_-</c:formatCode>
                <c:ptCount val="7"/>
                <c:pt idx="0">
                  <c:v>1.8408718595094219E-7</c:v>
                </c:pt>
                <c:pt idx="1">
                  <c:v>3.9794032548601966E-7</c:v>
                </c:pt>
                <c:pt idx="2">
                  <c:v>3.5649577542844009E-7</c:v>
                </c:pt>
                <c:pt idx="3">
                  <c:v>5.0434976183037866E-7</c:v>
                </c:pt>
                <c:pt idx="4">
                  <c:v>4.9896603351407556E-7</c:v>
                </c:pt>
                <c:pt idx="5">
                  <c:v>5.4001349897885728E-7</c:v>
                </c:pt>
                <c:pt idx="6">
                  <c:v>6.7359090909090892E-7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949376"/>
        <c:axId val="231079936"/>
      </c:barChart>
      <c:catAx>
        <c:axId val="23094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                                                           </a:t>
                </a:r>
                <a:r>
                  <a:rPr lang="en-US">
                    <a:solidFill>
                      <a:schemeClr val="bg1"/>
                    </a:solidFill>
                  </a:rPr>
                  <a:t>FN x5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crossAx val="231079936"/>
        <c:crosses val="autoZero"/>
        <c:auto val="1"/>
        <c:lblAlgn val="ctr"/>
        <c:lblOffset val="100"/>
        <c:noMultiLvlLbl val="0"/>
      </c:catAx>
      <c:valAx>
        <c:axId val="231079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Metanotrofia restaurada</a:t>
                </a:r>
                <a:r>
                  <a:rPr lang="en-US"/>
                  <a:t> (EmUS$/ha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[$$-409]#,##0.00000000" sourceLinked="0"/>
        <c:majorTickMark val="out"/>
        <c:minorTickMark val="none"/>
        <c:tickLblPos val="nextTo"/>
        <c:crossAx val="230949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 serviços '!$B$82:$B$88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 serviços '!$F$82:$F$88</c:f>
              <c:numCache>
                <c:formatCode>_(* #,##0.00_);_(* \(#,##0.00\);_(* "-"??_);_(@_)</c:formatCode>
                <c:ptCount val="7"/>
                <c:pt idx="0">
                  <c:v>78.545454545454547</c:v>
                </c:pt>
                <c:pt idx="1">
                  <c:v>13.216783216783217</c:v>
                </c:pt>
                <c:pt idx="2">
                  <c:v>21.146853146853147</c:v>
                </c:pt>
                <c:pt idx="3">
                  <c:v>37.006993006993007</c:v>
                </c:pt>
                <c:pt idx="4">
                  <c:v>52.867132867132867</c:v>
                </c:pt>
                <c:pt idx="5">
                  <c:v>68.727272727272734</c:v>
                </c:pt>
                <c:pt idx="6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950400"/>
        <c:axId val="231081664"/>
      </c:barChart>
      <c:catAx>
        <c:axId val="23095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                                                           </a:t>
                </a:r>
                <a:r>
                  <a:rPr lang="en-US">
                    <a:solidFill>
                      <a:schemeClr val="bg1"/>
                    </a:solidFill>
                  </a:rPr>
                  <a:t>FN x5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crossAx val="231081664"/>
        <c:crosses val="autoZero"/>
        <c:auto val="1"/>
        <c:lblAlgn val="ctr"/>
        <c:lblOffset val="100"/>
        <c:noMultiLvlLbl val="0"/>
      </c:catAx>
      <c:valAx>
        <c:axId val="231081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Controle da erosão restaurada</a:t>
                </a:r>
                <a:r>
                  <a:rPr lang="en-US"/>
                  <a:t> (EmUS$/ha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230950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 serviços '!$B$94:$B$100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 serviços '!$F$94:$F$100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950912"/>
        <c:axId val="231083392"/>
      </c:barChart>
      <c:catAx>
        <c:axId val="23095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                                                           </a:t>
                </a:r>
                <a:r>
                  <a:rPr lang="en-US">
                    <a:solidFill>
                      <a:schemeClr val="bg1"/>
                    </a:solidFill>
                  </a:rPr>
                  <a:t>FN x5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crossAx val="231083392"/>
        <c:crosses val="autoZero"/>
        <c:auto val="1"/>
        <c:lblAlgn val="ctr"/>
        <c:lblOffset val="100"/>
        <c:noMultiLvlLbl val="0"/>
      </c:catAx>
      <c:valAx>
        <c:axId val="231083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Nascente restaurada</a:t>
                </a:r>
                <a:r>
                  <a:rPr lang="en-US"/>
                  <a:t> (EmUS$/ha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230950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 serviços '!$B$23:$B$29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 serviços '!$F$23:$F$29</c:f>
              <c:numCache>
                <c:formatCode>_(* #,##0.00_);_(* \(#,##0.00\);_(* "-"??_);_(@_)</c:formatCode>
                <c:ptCount val="7"/>
                <c:pt idx="0">
                  <c:v>16.072159090909089</c:v>
                </c:pt>
                <c:pt idx="1">
                  <c:v>7.5676909090909081</c:v>
                </c:pt>
                <c:pt idx="2">
                  <c:v>14.645563636363637</c:v>
                </c:pt>
                <c:pt idx="3">
                  <c:v>32.376981818181825</c:v>
                </c:pt>
                <c:pt idx="4">
                  <c:v>54.492272727272727</c:v>
                </c:pt>
                <c:pt idx="5">
                  <c:v>79.289318181818189</c:v>
                </c:pt>
                <c:pt idx="6">
                  <c:v>181.04904545454551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951424"/>
        <c:axId val="231085120"/>
      </c:barChart>
      <c:catAx>
        <c:axId val="23095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                                                           </a:t>
                </a:r>
                <a:r>
                  <a:rPr lang="en-US">
                    <a:solidFill>
                      <a:schemeClr val="bg1"/>
                    </a:solidFill>
                  </a:rPr>
                  <a:t>FN x5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crossAx val="231085120"/>
        <c:crosses val="autoZero"/>
        <c:auto val="1"/>
        <c:lblAlgn val="ctr"/>
        <c:lblOffset val="100"/>
        <c:noMultiLvlLbl val="0"/>
      </c:catAx>
      <c:valAx>
        <c:axId val="231085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Evapotranspiração restaurada (EmUS$/ha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[$$-409]#,##0.0" sourceLinked="0"/>
        <c:majorTickMark val="out"/>
        <c:minorTickMark val="none"/>
        <c:tickLblPos val="nextTo"/>
        <c:crossAx val="230951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 serviços '!$B$10:$B$16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 serviços '!$F$10:$F$16</c:f>
              <c:numCache>
                <c:formatCode>_(* #,##0.00_);_(* \(#,##0.00\);_(* "-"??_);_(@_)</c:formatCode>
                <c:ptCount val="7"/>
                <c:pt idx="0">
                  <c:v>13.470000000000015</c:v>
                </c:pt>
                <c:pt idx="1">
                  <c:v>47.145000000000039</c:v>
                </c:pt>
                <c:pt idx="2">
                  <c:v>74.697272727272733</c:v>
                </c:pt>
                <c:pt idx="3">
                  <c:v>124.90363636363639</c:v>
                </c:pt>
                <c:pt idx="4">
                  <c:v>169.59954545454548</c:v>
                </c:pt>
                <c:pt idx="5">
                  <c:v>208.785</c:v>
                </c:pt>
                <c:pt idx="6">
                  <c:v>440.22409090909093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0951936"/>
        <c:axId val="231086848"/>
      </c:barChart>
      <c:catAx>
        <c:axId val="23095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                                                            </a:t>
                </a:r>
                <a:r>
                  <a:rPr lang="en-US">
                    <a:solidFill>
                      <a:schemeClr val="bg1"/>
                    </a:solidFill>
                  </a:rPr>
                  <a:t>FN x5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crossAx val="231086848"/>
        <c:crosses val="autoZero"/>
        <c:auto val="1"/>
        <c:lblAlgn val="ctr"/>
        <c:lblOffset val="100"/>
        <c:noMultiLvlLbl val="0"/>
      </c:catAx>
      <c:valAx>
        <c:axId val="231086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Controle do escoamento superficial restaurada (EmUS$/ha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[$$-409]#,##0.0" sourceLinked="0"/>
        <c:majorTickMark val="out"/>
        <c:minorTickMark val="none"/>
        <c:tickLblPos val="nextTo"/>
        <c:crossAx val="230951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ctr" anchorCtr="0"/>
          <a:lstStyle/>
          <a:p>
            <a:pPr>
              <a:defRPr sz="1050"/>
            </a:pPr>
            <a:r>
              <a:rPr lang="pt-BR" sz="1050"/>
              <a:t> Áreas de estudo  -</a:t>
            </a:r>
            <a:r>
              <a:rPr lang="pt-BR" sz="1050" baseline="0"/>
              <a:t> somatória de serviços =</a:t>
            </a:r>
            <a:r>
              <a:rPr lang="pt-BR" sz="1050"/>
              <a:t> EmUS$/ha.ano</a:t>
            </a:r>
          </a:p>
        </c:rich>
      </c:tx>
      <c:layout>
        <c:manualLayout>
          <c:xMode val="edge"/>
          <c:yMode val="edge"/>
          <c:x val="8.8630650300832711E-2"/>
          <c:y val="0.8494211140274132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182924083035758E-2"/>
          <c:y val="2.3495552639253431E-2"/>
          <c:w val="0.94163415183392851"/>
          <c:h val="0.7417279090113735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 serviços '!$B$10:$B$16</c:f>
              <c:strCache>
                <c:ptCount val="7"/>
                <c:pt idx="0">
                  <c:v>RF1,5A</c:v>
                </c:pt>
                <c:pt idx="1">
                  <c:v>RF5A</c:v>
                </c:pt>
                <c:pt idx="2">
                  <c:v>RF8A</c:v>
                </c:pt>
                <c:pt idx="3">
                  <c:v>RF14A</c:v>
                </c:pt>
                <c:pt idx="4">
                  <c:v>RF20A</c:v>
                </c:pt>
                <c:pt idx="5">
                  <c:v>RF26A</c:v>
                </c:pt>
                <c:pt idx="6">
                  <c:v>FN</c:v>
                </c:pt>
              </c:strCache>
            </c:strRef>
          </c:cat>
          <c:val>
            <c:numRef>
              <c:f>'Restaura -  serviços '!$R$10:$R$16</c:f>
              <c:numCache>
                <c:formatCode>_(* #,##0.00_);_(* \(#,##0.00\);_(* "-"??_);_(@_)</c:formatCode>
                <c:ptCount val="7"/>
                <c:pt idx="0">
                  <c:v>366.68960937466949</c:v>
                </c:pt>
                <c:pt idx="1">
                  <c:v>447.83078324596266</c:v>
                </c:pt>
                <c:pt idx="2">
                  <c:v>514.55131542162928</c:v>
                </c:pt>
                <c:pt idx="3">
                  <c:v>977.2874818150118</c:v>
                </c:pt>
                <c:pt idx="4">
                  <c:v>1425.9031763981718</c:v>
                </c:pt>
                <c:pt idx="5">
                  <c:v>1736.4745106055304</c:v>
                </c:pt>
                <c:pt idx="6">
                  <c:v>5981.6439154470172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0952448"/>
        <c:axId val="232473152"/>
      </c:barChart>
      <c:catAx>
        <c:axId val="23095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</c:spPr>
        <c:crossAx val="232473152"/>
        <c:crosses val="autoZero"/>
        <c:auto val="1"/>
        <c:lblAlgn val="ctr"/>
        <c:lblOffset val="100"/>
        <c:noMultiLvlLbl val="0"/>
      </c:catAx>
      <c:valAx>
        <c:axId val="232473152"/>
        <c:scaling>
          <c:orientation val="minMax"/>
        </c:scaling>
        <c:delete val="1"/>
        <c:axPos val="l"/>
        <c:numFmt formatCode="[$$-409]#,##0.0" sourceLinked="0"/>
        <c:majorTickMark val="out"/>
        <c:minorTickMark val="none"/>
        <c:tickLblPos val="nextTo"/>
        <c:crossAx val="230952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ctr" anchorCtr="0"/>
          <a:lstStyle/>
          <a:p>
            <a:pPr>
              <a:defRPr sz="1050"/>
            </a:pPr>
            <a:r>
              <a:rPr lang="pt-BR" sz="1050"/>
              <a:t> S</a:t>
            </a:r>
            <a:r>
              <a:rPr lang="pt-BR" sz="1050" baseline="0"/>
              <a:t>omatória de serviços  - comparativo da sucessão ecológica (SF) com restauração ecológica (RF) =</a:t>
            </a:r>
            <a:r>
              <a:rPr lang="pt-BR" sz="1050"/>
              <a:t> EmUS$/ha.ano</a:t>
            </a:r>
          </a:p>
        </c:rich>
      </c:tx>
      <c:layout>
        <c:manualLayout>
          <c:xMode val="edge"/>
          <c:yMode val="edge"/>
          <c:x val="8.8630650300832711E-2"/>
          <c:y val="0.8494211140274132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182924083035758E-2"/>
          <c:y val="2.3495552639253431E-2"/>
          <c:w val="0.94163415183392851"/>
          <c:h val="0.7417279090113735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'Restaura -  serviços '!$T$24:$T$34</c:f>
              <c:strCache>
                <c:ptCount val="11"/>
                <c:pt idx="0">
                  <c:v>RF1,5A</c:v>
                </c:pt>
                <c:pt idx="1">
                  <c:v>RF5A</c:v>
                </c:pt>
                <c:pt idx="2">
                  <c:v>SF7</c:v>
                </c:pt>
                <c:pt idx="3">
                  <c:v>RF8A</c:v>
                </c:pt>
                <c:pt idx="4">
                  <c:v>RF14A</c:v>
                </c:pt>
                <c:pt idx="5">
                  <c:v>RF20A</c:v>
                </c:pt>
                <c:pt idx="6">
                  <c:v>SF25</c:v>
                </c:pt>
                <c:pt idx="7">
                  <c:v>RF26A</c:v>
                </c:pt>
                <c:pt idx="8">
                  <c:v>SF75</c:v>
                </c:pt>
                <c:pt idx="9">
                  <c:v>SF200</c:v>
                </c:pt>
                <c:pt idx="10">
                  <c:v>FN</c:v>
                </c:pt>
              </c:strCache>
            </c:strRef>
          </c:cat>
          <c:val>
            <c:numRef>
              <c:f>'Restaura -  serviços '!$U$24:$U$34</c:f>
              <c:numCache>
                <c:formatCode>[$$-540A]#,##0.00</c:formatCode>
                <c:ptCount val="11"/>
                <c:pt idx="0">
                  <c:v>366.68960937466949</c:v>
                </c:pt>
                <c:pt idx="1">
                  <c:v>447.83078324596266</c:v>
                </c:pt>
                <c:pt idx="2">
                  <c:v>3008.05</c:v>
                </c:pt>
                <c:pt idx="3">
                  <c:v>514.55131542162928</c:v>
                </c:pt>
                <c:pt idx="4">
                  <c:v>977.2874818150118</c:v>
                </c:pt>
                <c:pt idx="5">
                  <c:v>1425.9031763981718</c:v>
                </c:pt>
                <c:pt idx="6">
                  <c:v>3433.53</c:v>
                </c:pt>
                <c:pt idx="7">
                  <c:v>1736.4745106055304</c:v>
                </c:pt>
                <c:pt idx="8">
                  <c:v>3706.73</c:v>
                </c:pt>
                <c:pt idx="9">
                  <c:v>5129.9399999999996</c:v>
                </c:pt>
                <c:pt idx="10">
                  <c:v>5981.6439154470172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2128512"/>
        <c:axId val="232474880"/>
      </c:barChart>
      <c:catAx>
        <c:axId val="2321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</c:spPr>
        <c:crossAx val="232474880"/>
        <c:crosses val="autoZero"/>
        <c:auto val="1"/>
        <c:lblAlgn val="ctr"/>
        <c:lblOffset val="100"/>
        <c:noMultiLvlLbl val="0"/>
      </c:catAx>
      <c:valAx>
        <c:axId val="232474880"/>
        <c:scaling>
          <c:orientation val="minMax"/>
        </c:scaling>
        <c:delete val="1"/>
        <c:axPos val="l"/>
        <c:numFmt formatCode="[$$-409]#,##0.0" sourceLinked="0"/>
        <c:majorTickMark val="out"/>
        <c:minorTickMark val="none"/>
        <c:tickLblPos val="nextTo"/>
        <c:crossAx val="232128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ctr" anchorCtr="0"/>
          <a:lstStyle/>
          <a:p>
            <a:pPr>
              <a:defRPr sz="1050"/>
            </a:pPr>
            <a:r>
              <a:rPr lang="pt-BR" sz="1050"/>
              <a:t> S</a:t>
            </a:r>
            <a:r>
              <a:rPr lang="pt-BR" sz="1050" baseline="0"/>
              <a:t>omatória de serviços - comparativo da sucessão ecológica (SF),  restauração ecológica (RF)  e área degradada (AD) =</a:t>
            </a:r>
            <a:r>
              <a:rPr lang="pt-BR" sz="1050"/>
              <a:t> EmUS$/ha.ano</a:t>
            </a:r>
          </a:p>
        </c:rich>
      </c:tx>
      <c:layout>
        <c:manualLayout>
          <c:xMode val="edge"/>
          <c:yMode val="edge"/>
          <c:x val="0.16629697656637374"/>
          <c:y val="0.7741301410939637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182924083035758E-2"/>
          <c:y val="2.3495552639253431E-2"/>
          <c:w val="0.94163415183392851"/>
          <c:h val="0.7417279090113735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dLbls>
            <c:dLbl>
              <c:idx val="1"/>
              <c:layout>
                <c:manualLayout>
                  <c:x val="-1.1554622963706202E-2"/>
                  <c:y val="-5.52126899563051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'Restaura -  serviços '!$T$23:$T$34</c:f>
              <c:strCache>
                <c:ptCount val="12"/>
                <c:pt idx="0">
                  <c:v>AD</c:v>
                </c:pt>
                <c:pt idx="1">
                  <c:v>RF1,5A</c:v>
                </c:pt>
                <c:pt idx="2">
                  <c:v>RF5A</c:v>
                </c:pt>
                <c:pt idx="3">
                  <c:v>SF7</c:v>
                </c:pt>
                <c:pt idx="4">
                  <c:v>RF8A</c:v>
                </c:pt>
                <c:pt idx="5">
                  <c:v>RF14A</c:v>
                </c:pt>
                <c:pt idx="6">
                  <c:v>RF20A</c:v>
                </c:pt>
                <c:pt idx="7">
                  <c:v>SF25</c:v>
                </c:pt>
                <c:pt idx="8">
                  <c:v>RF26A</c:v>
                </c:pt>
                <c:pt idx="9">
                  <c:v>SF75</c:v>
                </c:pt>
                <c:pt idx="10">
                  <c:v>SF200</c:v>
                </c:pt>
                <c:pt idx="11">
                  <c:v>FN</c:v>
                </c:pt>
              </c:strCache>
            </c:strRef>
          </c:cat>
          <c:val>
            <c:numRef>
              <c:f>'Restaura -  serviços '!$U$23:$U$34</c:f>
              <c:numCache>
                <c:formatCode>[$$-540A]#,##0.00</c:formatCode>
                <c:ptCount val="12"/>
                <c:pt idx="0">
                  <c:v>-5251.2495062541147</c:v>
                </c:pt>
                <c:pt idx="1">
                  <c:v>366.68960937466949</c:v>
                </c:pt>
                <c:pt idx="2">
                  <c:v>447.83078324596266</c:v>
                </c:pt>
                <c:pt idx="3">
                  <c:v>3008.05</c:v>
                </c:pt>
                <c:pt idx="4">
                  <c:v>514.55131542162928</c:v>
                </c:pt>
                <c:pt idx="5">
                  <c:v>977.2874818150118</c:v>
                </c:pt>
                <c:pt idx="6">
                  <c:v>1425.9031763981718</c:v>
                </c:pt>
                <c:pt idx="7">
                  <c:v>3433.53</c:v>
                </c:pt>
                <c:pt idx="8">
                  <c:v>1736.4745106055304</c:v>
                </c:pt>
                <c:pt idx="9">
                  <c:v>3706.73</c:v>
                </c:pt>
                <c:pt idx="10">
                  <c:v>5129.9399999999996</c:v>
                </c:pt>
                <c:pt idx="11">
                  <c:v>5981.6439154470172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7480832"/>
        <c:axId val="247892800"/>
      </c:barChart>
      <c:catAx>
        <c:axId val="24748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</c:spPr>
        <c:crossAx val="247892800"/>
        <c:crosses val="autoZero"/>
        <c:auto val="1"/>
        <c:lblAlgn val="ctr"/>
        <c:lblOffset val="100"/>
        <c:noMultiLvlLbl val="0"/>
      </c:catAx>
      <c:valAx>
        <c:axId val="247892800"/>
        <c:scaling>
          <c:orientation val="minMax"/>
        </c:scaling>
        <c:delete val="1"/>
        <c:axPos val="l"/>
        <c:numFmt formatCode="[$$-409]#,##0.0" sourceLinked="0"/>
        <c:majorTickMark val="out"/>
        <c:minorTickMark val="none"/>
        <c:tickLblPos val="nextTo"/>
        <c:crossAx val="247480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50057021048298"/>
          <c:y val="7.9062773403324571E-2"/>
          <c:w val="0.77747967293733056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'1 Sol'!$B$14:$B$27</c:f>
              <c:strCache>
                <c:ptCount val="14"/>
                <c:pt idx="0">
                  <c:v>C1,5A</c:v>
                </c:pt>
                <c:pt idx="1">
                  <c:v>RF1,5A</c:v>
                </c:pt>
                <c:pt idx="2">
                  <c:v>C5A</c:v>
                </c:pt>
                <c:pt idx="3">
                  <c:v>RF5A</c:v>
                </c:pt>
                <c:pt idx="4">
                  <c:v>C8A</c:v>
                </c:pt>
                <c:pt idx="5">
                  <c:v>RF8A</c:v>
                </c:pt>
                <c:pt idx="6">
                  <c:v>C14A</c:v>
                </c:pt>
                <c:pt idx="7">
                  <c:v>RF14A</c:v>
                </c:pt>
                <c:pt idx="8">
                  <c:v>C20A</c:v>
                </c:pt>
                <c:pt idx="9">
                  <c:v>RF20A</c:v>
                </c:pt>
                <c:pt idx="10">
                  <c:v>C26A</c:v>
                </c:pt>
                <c:pt idx="11">
                  <c:v>RF26A</c:v>
                </c:pt>
                <c:pt idx="12">
                  <c:v>CFN</c:v>
                </c:pt>
                <c:pt idx="13">
                  <c:v>FN</c:v>
                </c:pt>
              </c:strCache>
            </c:strRef>
          </c:cat>
          <c:val>
            <c:numRef>
              <c:f>'3 Vento'!$J$6:$J$19</c:f>
              <c:numCache>
                <c:formatCode>0.00E+00</c:formatCode>
                <c:ptCount val="14"/>
                <c:pt idx="0">
                  <c:v>615881000.86500013</c:v>
                </c:pt>
                <c:pt idx="1">
                  <c:v>923821501.29750013</c:v>
                </c:pt>
                <c:pt idx="2">
                  <c:v>615881000.86500013</c:v>
                </c:pt>
                <c:pt idx="3">
                  <c:v>3079405004.3250008</c:v>
                </c:pt>
                <c:pt idx="4">
                  <c:v>615881000.86500013</c:v>
                </c:pt>
                <c:pt idx="5">
                  <c:v>4927048006.920001</c:v>
                </c:pt>
                <c:pt idx="6">
                  <c:v>615881000.86500013</c:v>
                </c:pt>
                <c:pt idx="7">
                  <c:v>8622334012.1100025</c:v>
                </c:pt>
                <c:pt idx="8">
                  <c:v>615881000.86500013</c:v>
                </c:pt>
                <c:pt idx="9">
                  <c:v>12317620017.300003</c:v>
                </c:pt>
                <c:pt idx="10">
                  <c:v>615881000.86500013</c:v>
                </c:pt>
                <c:pt idx="11">
                  <c:v>16012906022.490004</c:v>
                </c:pt>
                <c:pt idx="12">
                  <c:v>615881000.86500013</c:v>
                </c:pt>
                <c:pt idx="13">
                  <c:v>123176200173.00003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6246144"/>
        <c:axId val="226344256"/>
      </c:barChart>
      <c:catAx>
        <c:axId val="22624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6344256"/>
        <c:crosses val="autoZero"/>
        <c:auto val="1"/>
        <c:lblAlgn val="ctr"/>
        <c:lblOffset val="100"/>
        <c:noMultiLvlLbl val="0"/>
      </c:catAx>
      <c:valAx>
        <c:axId val="2263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Energia eólica (J/ha.Inv.)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226246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50057021048298"/>
          <c:y val="7.9062773403324571E-2"/>
          <c:w val="0.77747967293733056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'1 Sol'!$B$14:$B$27</c:f>
              <c:strCache>
                <c:ptCount val="14"/>
                <c:pt idx="0">
                  <c:v>C1,5A</c:v>
                </c:pt>
                <c:pt idx="1">
                  <c:v>RF1,5A</c:v>
                </c:pt>
                <c:pt idx="2">
                  <c:v>C5A</c:v>
                </c:pt>
                <c:pt idx="3">
                  <c:v>RF5A</c:v>
                </c:pt>
                <c:pt idx="4">
                  <c:v>C8A</c:v>
                </c:pt>
                <c:pt idx="5">
                  <c:v>RF8A</c:v>
                </c:pt>
                <c:pt idx="6">
                  <c:v>C14A</c:v>
                </c:pt>
                <c:pt idx="7">
                  <c:v>RF14A</c:v>
                </c:pt>
                <c:pt idx="8">
                  <c:v>C20A</c:v>
                </c:pt>
                <c:pt idx="9">
                  <c:v>RF20A</c:v>
                </c:pt>
                <c:pt idx="10">
                  <c:v>C26A</c:v>
                </c:pt>
                <c:pt idx="11">
                  <c:v>RF26A</c:v>
                </c:pt>
                <c:pt idx="12">
                  <c:v>CFN</c:v>
                </c:pt>
                <c:pt idx="13">
                  <c:v>FN</c:v>
                </c:pt>
              </c:strCache>
            </c:strRef>
          </c:cat>
          <c:val>
            <c:numRef>
              <c:f>'3 Vento'!$I$6:$I$19</c:f>
              <c:numCache>
                <c:formatCode>0.00E+00</c:formatCode>
                <c:ptCount val="14"/>
                <c:pt idx="0">
                  <c:v>615881000.86500013</c:v>
                </c:pt>
                <c:pt idx="1">
                  <c:v>615881000.86500013</c:v>
                </c:pt>
                <c:pt idx="2">
                  <c:v>615881000.86500013</c:v>
                </c:pt>
                <c:pt idx="3">
                  <c:v>615881000.86500013</c:v>
                </c:pt>
                <c:pt idx="4">
                  <c:v>615881000.86500013</c:v>
                </c:pt>
                <c:pt idx="5">
                  <c:v>615881000.86500013</c:v>
                </c:pt>
                <c:pt idx="6">
                  <c:v>615881000.86500013</c:v>
                </c:pt>
                <c:pt idx="7">
                  <c:v>615881000.86500013</c:v>
                </c:pt>
                <c:pt idx="8">
                  <c:v>615881000.86500013</c:v>
                </c:pt>
                <c:pt idx="9">
                  <c:v>615881000.86500013</c:v>
                </c:pt>
                <c:pt idx="10">
                  <c:v>615881000.86500013</c:v>
                </c:pt>
                <c:pt idx="11">
                  <c:v>615881000.86500013</c:v>
                </c:pt>
                <c:pt idx="12">
                  <c:v>615881000.86500013</c:v>
                </c:pt>
                <c:pt idx="13">
                  <c:v>615881000.86500013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1166720"/>
        <c:axId val="61827904"/>
      </c:barChart>
      <c:catAx>
        <c:axId val="17116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61827904"/>
        <c:crosses val="autoZero"/>
        <c:auto val="1"/>
        <c:lblAlgn val="ctr"/>
        <c:lblOffset val="100"/>
        <c:noMultiLvlLbl val="0"/>
      </c:catAx>
      <c:valAx>
        <c:axId val="61827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Energia eólica (J/ha.ano)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171166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'1 Sol'!$B$14:$B$27</c:f>
              <c:strCache>
                <c:ptCount val="14"/>
                <c:pt idx="0">
                  <c:v>C1,5A</c:v>
                </c:pt>
                <c:pt idx="1">
                  <c:v>RF1,5A</c:v>
                </c:pt>
                <c:pt idx="2">
                  <c:v>C5A</c:v>
                </c:pt>
                <c:pt idx="3">
                  <c:v>RF5A</c:v>
                </c:pt>
                <c:pt idx="4">
                  <c:v>C8A</c:v>
                </c:pt>
                <c:pt idx="5">
                  <c:v>RF8A</c:v>
                </c:pt>
                <c:pt idx="6">
                  <c:v>C14A</c:v>
                </c:pt>
                <c:pt idx="7">
                  <c:v>RF14A</c:v>
                </c:pt>
                <c:pt idx="8">
                  <c:v>C20A</c:v>
                </c:pt>
                <c:pt idx="9">
                  <c:v>RF20A</c:v>
                </c:pt>
                <c:pt idx="10">
                  <c:v>C26A</c:v>
                </c:pt>
                <c:pt idx="11">
                  <c:v>RF26A</c:v>
                </c:pt>
                <c:pt idx="12">
                  <c:v>CFN</c:v>
                </c:pt>
                <c:pt idx="13">
                  <c:v>FN</c:v>
                </c:pt>
              </c:strCache>
            </c:strRef>
          </c:cat>
          <c:val>
            <c:numRef>
              <c:f>'4 Soerguimento'!$I$4:$I$17</c:f>
              <c:numCache>
                <c:formatCode>0.00E+00</c:formatCode>
                <c:ptCount val="14"/>
                <c:pt idx="0">
                  <c:v>44912985274.431061</c:v>
                </c:pt>
                <c:pt idx="1">
                  <c:v>67369477911.646591</c:v>
                </c:pt>
                <c:pt idx="2">
                  <c:v>44912985274.431061</c:v>
                </c:pt>
                <c:pt idx="3">
                  <c:v>224564926372.1553</c:v>
                </c:pt>
                <c:pt idx="4">
                  <c:v>44912985274.431061</c:v>
                </c:pt>
                <c:pt idx="5">
                  <c:v>359303882195.44849</c:v>
                </c:pt>
                <c:pt idx="6">
                  <c:v>44912985274.431061</c:v>
                </c:pt>
                <c:pt idx="7">
                  <c:v>628781793842.03491</c:v>
                </c:pt>
                <c:pt idx="8">
                  <c:v>44912985274.431061</c:v>
                </c:pt>
                <c:pt idx="9">
                  <c:v>898259705488.62122</c:v>
                </c:pt>
                <c:pt idx="10">
                  <c:v>44912985274.431061</c:v>
                </c:pt>
                <c:pt idx="11">
                  <c:v>1167737617135.2075</c:v>
                </c:pt>
                <c:pt idx="12">
                  <c:v>44912985274.431061</c:v>
                </c:pt>
                <c:pt idx="13">
                  <c:v>8982597054886.2129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7501568"/>
        <c:axId val="61829632"/>
      </c:barChart>
      <c:catAx>
        <c:axId val="22750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61829632"/>
        <c:crosses val="autoZero"/>
        <c:auto val="1"/>
        <c:lblAlgn val="ctr"/>
        <c:lblOffset val="100"/>
        <c:noMultiLvlLbl val="0"/>
      </c:catAx>
      <c:valAx>
        <c:axId val="61829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Energia do sorguimento  geológico (J/ha.Inv.)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227501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5105589146712"/>
          <c:y val="7.9062773403324571E-2"/>
          <c:w val="0.73022918371541934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'1 Sol'!$B$14:$B$27</c:f>
              <c:strCache>
                <c:ptCount val="14"/>
                <c:pt idx="0">
                  <c:v>C1,5A</c:v>
                </c:pt>
                <c:pt idx="1">
                  <c:v>RF1,5A</c:v>
                </c:pt>
                <c:pt idx="2">
                  <c:v>C5A</c:v>
                </c:pt>
                <c:pt idx="3">
                  <c:v>RF5A</c:v>
                </c:pt>
                <c:pt idx="4">
                  <c:v>C8A</c:v>
                </c:pt>
                <c:pt idx="5">
                  <c:v>RF8A</c:v>
                </c:pt>
                <c:pt idx="6">
                  <c:v>C14A</c:v>
                </c:pt>
                <c:pt idx="7">
                  <c:v>RF14A</c:v>
                </c:pt>
                <c:pt idx="8">
                  <c:v>C20A</c:v>
                </c:pt>
                <c:pt idx="9">
                  <c:v>RF20A</c:v>
                </c:pt>
                <c:pt idx="10">
                  <c:v>C26A</c:v>
                </c:pt>
                <c:pt idx="11">
                  <c:v>RF26A</c:v>
                </c:pt>
                <c:pt idx="12">
                  <c:v>CFN</c:v>
                </c:pt>
                <c:pt idx="13">
                  <c:v>FN</c:v>
                </c:pt>
              </c:strCache>
            </c:strRef>
          </c:cat>
          <c:val>
            <c:numRef>
              <c:f>'4 Soerguimento'!$H$4:$H$17</c:f>
              <c:numCache>
                <c:formatCode>0.00E+00</c:formatCode>
                <c:ptCount val="14"/>
                <c:pt idx="0">
                  <c:v>44912985274.431061</c:v>
                </c:pt>
                <c:pt idx="1">
                  <c:v>44912985274.431061</c:v>
                </c:pt>
                <c:pt idx="2">
                  <c:v>44912985274.431061</c:v>
                </c:pt>
                <c:pt idx="3">
                  <c:v>44912985274.431061</c:v>
                </c:pt>
                <c:pt idx="4">
                  <c:v>44912985274.431061</c:v>
                </c:pt>
                <c:pt idx="5">
                  <c:v>44912985274.431061</c:v>
                </c:pt>
                <c:pt idx="6">
                  <c:v>44912985274.431061</c:v>
                </c:pt>
                <c:pt idx="7">
                  <c:v>44912985274.431061</c:v>
                </c:pt>
                <c:pt idx="8">
                  <c:v>44912985274.431061</c:v>
                </c:pt>
                <c:pt idx="9">
                  <c:v>44912985274.431061</c:v>
                </c:pt>
                <c:pt idx="10">
                  <c:v>44912985274.431061</c:v>
                </c:pt>
                <c:pt idx="11">
                  <c:v>44912985274.431061</c:v>
                </c:pt>
                <c:pt idx="12">
                  <c:v>44912985274.431061</c:v>
                </c:pt>
                <c:pt idx="13">
                  <c:v>44912985274.431061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7502592"/>
        <c:axId val="61831360"/>
      </c:barChart>
      <c:catAx>
        <c:axId val="22750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61831360"/>
        <c:crosses val="autoZero"/>
        <c:auto val="1"/>
        <c:lblAlgn val="ctr"/>
        <c:lblOffset val="100"/>
        <c:noMultiLvlLbl val="0"/>
      </c:catAx>
      <c:valAx>
        <c:axId val="61831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Energia do soerguimento geológico (J/ha.ano)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227502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4186239279923"/>
          <c:y val="7.9062773403324571E-2"/>
          <c:w val="0.76156172303336978"/>
          <c:h val="0.63021689997083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tx1"/>
                  </a:gs>
                  <a:gs pos="50000">
                    <a:schemeClr val="tx1"/>
                  </a:gs>
                  <a:gs pos="100000">
                    <a:schemeClr val="tx1"/>
                  </a:gs>
                </a:gsLst>
                <a:lin ang="5400000" scaled="0"/>
              </a:gradFill>
            </c:spPr>
          </c:dPt>
          <c:cat>
            <c:strRef>
              <c:f>'1 Sol'!$B$14:$B$27</c:f>
              <c:strCache>
                <c:ptCount val="14"/>
                <c:pt idx="0">
                  <c:v>C1,5A</c:v>
                </c:pt>
                <c:pt idx="1">
                  <c:v>RF1,5A</c:v>
                </c:pt>
                <c:pt idx="2">
                  <c:v>C5A</c:v>
                </c:pt>
                <c:pt idx="3">
                  <c:v>RF5A</c:v>
                </c:pt>
                <c:pt idx="4">
                  <c:v>C8A</c:v>
                </c:pt>
                <c:pt idx="5">
                  <c:v>RF8A</c:v>
                </c:pt>
                <c:pt idx="6">
                  <c:v>C14A</c:v>
                </c:pt>
                <c:pt idx="7">
                  <c:v>RF14A</c:v>
                </c:pt>
                <c:pt idx="8">
                  <c:v>C20A</c:v>
                </c:pt>
                <c:pt idx="9">
                  <c:v>RF20A</c:v>
                </c:pt>
                <c:pt idx="10">
                  <c:v>C26A</c:v>
                </c:pt>
                <c:pt idx="11">
                  <c:v>RF26A</c:v>
                </c:pt>
                <c:pt idx="12">
                  <c:v>CFN</c:v>
                </c:pt>
                <c:pt idx="13">
                  <c:v>FN</c:v>
                </c:pt>
              </c:strCache>
            </c:strRef>
          </c:cat>
          <c:val>
            <c:numRef>
              <c:f>'5 Nascente'!$H$5:$H$18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7500544"/>
        <c:axId val="227737600"/>
      </c:barChart>
      <c:catAx>
        <c:axId val="22750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Áreas de estudo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</c:spPr>
        <c:crossAx val="227737600"/>
        <c:crosses val="autoZero"/>
        <c:auto val="1"/>
        <c:lblAlgn val="ctr"/>
        <c:lblOffset val="100"/>
        <c:noMultiLvlLbl val="0"/>
      </c:catAx>
      <c:valAx>
        <c:axId val="227737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Energia da</a:t>
                </a:r>
                <a:r>
                  <a:rPr lang="en-US" baseline="0"/>
                  <a:t> água da nascente</a:t>
                </a:r>
                <a:r>
                  <a:rPr lang="en-US"/>
                  <a:t> (J/área.ano)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227500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18" Type="http://schemas.openxmlformats.org/officeDocument/2006/relationships/chart" Target="../charts/chart28.xml"/><Relationship Id="rId3" Type="http://schemas.openxmlformats.org/officeDocument/2006/relationships/chart" Target="../charts/chart13.xml"/><Relationship Id="rId21" Type="http://schemas.openxmlformats.org/officeDocument/2006/relationships/chart" Target="../charts/chart31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17" Type="http://schemas.openxmlformats.org/officeDocument/2006/relationships/chart" Target="../charts/chart27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20" Type="http://schemas.openxmlformats.org/officeDocument/2006/relationships/chart" Target="../charts/chart30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19" Type="http://schemas.openxmlformats.org/officeDocument/2006/relationships/chart" Target="../charts/chart29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Relationship Id="rId22" Type="http://schemas.openxmlformats.org/officeDocument/2006/relationships/chart" Target="../charts/chart3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11" Type="http://schemas.openxmlformats.org/officeDocument/2006/relationships/chart" Target="../charts/chart49.xml"/><Relationship Id="rId5" Type="http://schemas.openxmlformats.org/officeDocument/2006/relationships/chart" Target="../charts/chart43.xml"/><Relationship Id="rId10" Type="http://schemas.openxmlformats.org/officeDocument/2006/relationships/chart" Target="../charts/chart48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14</xdr:col>
      <xdr:colOff>134874</xdr:colOff>
      <xdr:row>28</xdr:row>
      <xdr:rowOff>502497</xdr:rowOff>
    </xdr:to>
    <xdr:pic>
      <xdr:nvPicPr>
        <xdr:cNvPr id="4" name="Imagem 3" descr="app 6a versao.jpg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802624" cy="6278880"/>
        </a:xfrm>
        <a:prstGeom prst="rect">
          <a:avLst/>
        </a:prstGeom>
      </xdr:spPr>
    </xdr:pic>
    <xdr:clientData/>
  </xdr:twoCellAnchor>
  <xdr:twoCellAnchor editAs="oneCell">
    <xdr:from>
      <xdr:col>16</xdr:col>
      <xdr:colOff>214312</xdr:colOff>
      <xdr:row>1</xdr:row>
      <xdr:rowOff>26983</xdr:rowOff>
    </xdr:from>
    <xdr:to>
      <xdr:col>18</xdr:col>
      <xdr:colOff>497895</xdr:colOff>
      <xdr:row>9</xdr:row>
      <xdr:rowOff>107845</xdr:rowOff>
    </xdr:to>
    <xdr:pic>
      <xdr:nvPicPr>
        <xdr:cNvPr id="3" name="Picture 2" descr="PRE_VER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001375" y="217483"/>
          <a:ext cx="1498020" cy="171201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oneCellAnchor>
    <xdr:from>
      <xdr:col>0</xdr:col>
      <xdr:colOff>31751</xdr:colOff>
      <xdr:row>1</xdr:row>
      <xdr:rowOff>137584</xdr:rowOff>
    </xdr:from>
    <xdr:ext cx="12576968" cy="4751917"/>
    <xdr:sp macro="" textlink="">
      <xdr:nvSpPr>
        <xdr:cNvPr id="17" name="Retângulo 16"/>
        <xdr:cNvSpPr/>
      </xdr:nvSpPr>
      <xdr:spPr>
        <a:xfrm>
          <a:off x="31751" y="328084"/>
          <a:ext cx="12576968" cy="4751917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ctr">
          <a:noAutofit/>
        </a:bodyPr>
        <a:lstStyle/>
        <a:p>
          <a:pPr algn="ctr"/>
          <a:endParaRPr lang="pt-BR" sz="3200" b="1" cap="all" spc="0" baseline="0">
            <a:ln w="18000">
              <a:noFill/>
              <a:prstDash val="solid"/>
              <a:miter lim="800000"/>
            </a:ln>
            <a:solidFill>
              <a:sysClr val="windowText" lastClr="000000"/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pt-BR" sz="3200" b="1" cap="all" spc="0" baseline="0">
            <a:ln w="18000">
              <a:noFill/>
              <a:prstDash val="solid"/>
              <a:miter lim="800000"/>
            </a:ln>
            <a:solidFill>
              <a:sysClr val="windowText" lastClr="000000"/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  <a:p>
          <a:pPr algn="ctr"/>
          <a:endParaRPr lang="pt-BR" sz="3200" b="1" cap="all" spc="0" baseline="0">
            <a:ln w="18000">
              <a:noFill/>
              <a:prstDash val="solid"/>
              <a:miter lim="800000"/>
            </a:ln>
            <a:solidFill>
              <a:sysClr val="windowText" lastClr="000000"/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  <a:p>
          <a:pPr algn="ctr"/>
          <a:r>
            <a:rPr lang="pt-BR" sz="3200" b="1" cap="all" spc="0" baseline="0">
              <a:ln w="18000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itchFamily="34" charset="0"/>
              <a:cs typeface="Arial" pitchFamily="34" charset="0"/>
            </a:rPr>
            <a:t>AVALIAÇÂO e VALORAÇÃO  EMERGÉTICA   DA RESTAURAÇÃO DOS  BENS E  SERVIÇOS  AMBIENTAIS EM PROJETOS DE RESTAURAÇÃO DE FLORESTAS TROPICAIS  </a:t>
          </a:r>
        </a:p>
        <a:p>
          <a:pPr algn="ctr"/>
          <a:r>
            <a:rPr lang="pt-BR" sz="1400" b="1" cap="none" spc="0" baseline="0">
              <a:ln w="18000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pt-BR" sz="4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  <a:effectLst>
                <a:reflection blurRad="12700" stA="28000" endPos="45000" dist="1000" dir="5400000" sy="-100000" algn="bl" rotWithShape="0"/>
              </a:effectLst>
              <a:latin typeface="Arial" pitchFamily="34" charset="0"/>
              <a:cs typeface="Arial" pitchFamily="34" charset="0"/>
            </a:rPr>
            <a:t>LEIA-LARGEA</a:t>
          </a:r>
          <a:r>
            <a:rPr lang="pt-BR" sz="44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  <a:effectLst>
                <a:reflection blurRad="12700" stA="28000" endPos="45000" dist="1000" dir="5400000" sy="-100000" algn="bl" rotWithShape="0"/>
              </a:effectLst>
              <a:latin typeface="Arial" pitchFamily="34" charset="0"/>
              <a:cs typeface="Arial" pitchFamily="34" charset="0"/>
            </a:rPr>
            <a:t> 0-300 V. </a:t>
          </a:r>
          <a:r>
            <a:rPr lang="pt-BR" sz="4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  <a:effectLst>
                <a:reflection blurRad="12700" stA="28000" endPos="45000" dist="1000" dir="5400000" sy="-100000" algn="bl" rotWithShape="0"/>
              </a:effectLst>
              <a:latin typeface="Arial" pitchFamily="34" charset="0"/>
              <a:cs typeface="Arial" pitchFamily="34" charset="0"/>
            </a:rPr>
            <a:t>32-04-08-07</a:t>
          </a:r>
        </a:p>
      </xdr:txBody>
    </xdr:sp>
    <xdr:clientData/>
  </xdr:oneCellAnchor>
  <xdr:twoCellAnchor editAs="oneCell">
    <xdr:from>
      <xdr:col>9</xdr:col>
      <xdr:colOff>51850</xdr:colOff>
      <xdr:row>2</xdr:row>
      <xdr:rowOff>120912</xdr:rowOff>
    </xdr:from>
    <xdr:to>
      <xdr:col>11</xdr:col>
      <xdr:colOff>523875</xdr:colOff>
      <xdr:row>7</xdr:row>
      <xdr:rowOff>174950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7788" y="501912"/>
          <a:ext cx="1686462" cy="1113694"/>
        </a:xfrm>
        <a:prstGeom prst="roundRect">
          <a:avLst>
            <a:gd name="adj" fmla="val 21130"/>
          </a:avLst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13</xdr:col>
      <xdr:colOff>534987</xdr:colOff>
      <xdr:row>1</xdr:row>
      <xdr:rowOff>57723</xdr:rowOff>
    </xdr:from>
    <xdr:to>
      <xdr:col>15</xdr:col>
      <xdr:colOff>595313</xdr:colOff>
      <xdr:row>9</xdr:row>
      <xdr:rowOff>130969</xdr:rowOff>
    </xdr:to>
    <xdr:grpSp>
      <xdr:nvGrpSpPr>
        <xdr:cNvPr id="7" name="Group 11"/>
        <xdr:cNvGrpSpPr>
          <a:grpSpLocks/>
        </xdr:cNvGrpSpPr>
      </xdr:nvGrpSpPr>
      <xdr:grpSpPr bwMode="auto">
        <a:xfrm>
          <a:off x="8559800" y="248223"/>
          <a:ext cx="1274763" cy="1704402"/>
          <a:chOff x="17699" y="593"/>
          <a:chExt cx="1651" cy="2299"/>
        </a:xfrm>
      </xdr:grpSpPr>
      <xdr:pic>
        <xdr:nvPicPr>
          <xdr:cNvPr id="9" name="Picture 12" descr="leia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17699" y="593"/>
            <a:ext cx="1563" cy="1647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10" name="Text Box 13"/>
          <xdr:cNvSpPr txBox="1">
            <a:spLocks noChangeArrowheads="1"/>
          </xdr:cNvSpPr>
        </xdr:nvSpPr>
        <xdr:spPr bwMode="auto">
          <a:xfrm>
            <a:off x="17736" y="2358"/>
            <a:ext cx="1614" cy="5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pt-BR"/>
            </a:defPPr>
            <a:lvl1pPr algn="l" defTabSz="1744663" rtl="0" fontAlgn="base">
              <a:spcBef>
                <a:spcPct val="0"/>
              </a:spcBef>
              <a:spcAft>
                <a:spcPct val="0"/>
              </a:spcAft>
              <a:defRPr sz="3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871538" indent="-414338" algn="l" defTabSz="1744663" rtl="0" fontAlgn="base">
              <a:spcBef>
                <a:spcPct val="0"/>
              </a:spcBef>
              <a:spcAft>
                <a:spcPct val="0"/>
              </a:spcAft>
              <a:defRPr sz="3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1744663" indent="-830263" algn="l" defTabSz="1744663" rtl="0" fontAlgn="base">
              <a:spcBef>
                <a:spcPct val="0"/>
              </a:spcBef>
              <a:spcAft>
                <a:spcPct val="0"/>
              </a:spcAft>
              <a:defRPr sz="3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2617788" indent="-1246188" algn="l" defTabSz="1744663" rtl="0" fontAlgn="base">
              <a:spcBef>
                <a:spcPct val="0"/>
              </a:spcBef>
              <a:spcAft>
                <a:spcPct val="0"/>
              </a:spcAft>
              <a:defRPr sz="3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3490913" indent="-1662113" algn="l" defTabSz="1744663" rtl="0" fontAlgn="base">
              <a:spcBef>
                <a:spcPct val="0"/>
              </a:spcBef>
              <a:spcAft>
                <a:spcPct val="0"/>
              </a:spcAft>
              <a:defRPr sz="3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sz="3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sz="3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sz="3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sz="3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ctr">
              <a:spcBef>
                <a:spcPct val="50000"/>
              </a:spcBef>
            </a:pPr>
            <a:r>
              <a:rPr lang="pt-BR" sz="1400" b="1">
                <a:solidFill>
                  <a:srgbClr val="000000"/>
                </a:solidFill>
                <a:latin typeface="Comic Sans MS" pitchFamily="66" charset="0"/>
                <a:cs typeface="Times New Roman" pitchFamily="18" charset="0"/>
              </a:rPr>
              <a:t>LEIA</a:t>
            </a:r>
          </a:p>
        </xdr:txBody>
      </xdr:sp>
    </xdr:grpSp>
    <xdr:clientData/>
  </xdr:twoCellAnchor>
  <xdr:twoCellAnchor editAs="oneCell">
    <xdr:from>
      <xdr:col>0</xdr:col>
      <xdr:colOff>218281</xdr:colOff>
      <xdr:row>1</xdr:row>
      <xdr:rowOff>128324</xdr:rowOff>
    </xdr:from>
    <xdr:to>
      <xdr:col>2</xdr:col>
      <xdr:colOff>6879</xdr:colOff>
      <xdr:row>10</xdr:row>
      <xdr:rowOff>4499</xdr:rowOff>
    </xdr:to>
    <xdr:pic>
      <xdr:nvPicPr>
        <xdr:cNvPr id="13" name="Imagem 12" descr="Iníci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281" y="318824"/>
          <a:ext cx="1134004" cy="1697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492136</xdr:colOff>
      <xdr:row>3</xdr:row>
      <xdr:rowOff>84667</xdr:rowOff>
    </xdr:from>
    <xdr:ext cx="1846531" cy="718466"/>
    <xdr:sp macro="" textlink="">
      <xdr:nvSpPr>
        <xdr:cNvPr id="2" name="CaixaDeTexto 1"/>
        <xdr:cNvSpPr txBox="1"/>
      </xdr:nvSpPr>
      <xdr:spPr>
        <a:xfrm>
          <a:off x="2444761" y="763323"/>
          <a:ext cx="1846531" cy="7184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4000"/>
            <a:t>LARGEA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0.4079</cdr:x>
      <cdr:y>0.86111</cdr:y>
    </cdr:from>
    <cdr:to>
      <cdr:x>0.59891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52625" y="2362200"/>
          <a:ext cx="9144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0.4079</cdr:x>
      <cdr:y>0.86111</cdr:y>
    </cdr:from>
    <cdr:to>
      <cdr:x>0.59891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52625" y="2362200"/>
          <a:ext cx="9144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0.4079</cdr:x>
      <cdr:y>0.86111</cdr:y>
    </cdr:from>
    <cdr:to>
      <cdr:x>0.59891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52625" y="2362200"/>
          <a:ext cx="9144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952501</xdr:colOff>
      <xdr:row>6</xdr:row>
      <xdr:rowOff>151416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1658600" cy="1151540"/>
        </a:xfrm>
        <a:prstGeom prst="rect">
          <a:avLst/>
        </a:prstGeom>
      </xdr:spPr>
    </xdr:pic>
    <xdr:clientData/>
  </xdr:twoCellAnchor>
  <xdr:twoCellAnchor>
    <xdr:from>
      <xdr:col>1</xdr:col>
      <xdr:colOff>42862</xdr:colOff>
      <xdr:row>28</xdr:row>
      <xdr:rowOff>33337</xdr:rowOff>
    </xdr:from>
    <xdr:to>
      <xdr:col>4</xdr:col>
      <xdr:colOff>495300</xdr:colOff>
      <xdr:row>45</xdr:row>
      <xdr:rowOff>23812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800100</xdr:colOff>
      <xdr:row>28</xdr:row>
      <xdr:rowOff>66675</xdr:rowOff>
    </xdr:from>
    <xdr:to>
      <xdr:col>10</xdr:col>
      <xdr:colOff>4763</xdr:colOff>
      <xdr:row>45</xdr:row>
      <xdr:rowOff>57150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19</xdr:row>
      <xdr:rowOff>0</xdr:rowOff>
    </xdr:from>
    <xdr:to>
      <xdr:col>10</xdr:col>
      <xdr:colOff>442913</xdr:colOff>
      <xdr:row>33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5</xdr:col>
      <xdr:colOff>80963</xdr:colOff>
      <xdr:row>33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389060</xdr:colOff>
      <xdr:row>22</xdr:row>
      <xdr:rowOff>0</xdr:rowOff>
    </xdr:from>
    <xdr:to>
      <xdr:col>11</xdr:col>
      <xdr:colOff>442914</xdr:colOff>
      <xdr:row>36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6</xdr:col>
      <xdr:colOff>117598</xdr:colOff>
      <xdr:row>36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462328</xdr:colOff>
      <xdr:row>19</xdr:row>
      <xdr:rowOff>0</xdr:rowOff>
    </xdr:from>
    <xdr:to>
      <xdr:col>10</xdr:col>
      <xdr:colOff>362317</xdr:colOff>
      <xdr:row>36</xdr:row>
      <xdr:rowOff>2931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849924</xdr:colOff>
      <xdr:row>19</xdr:row>
      <xdr:rowOff>0</xdr:rowOff>
    </xdr:from>
    <xdr:to>
      <xdr:col>5</xdr:col>
      <xdr:colOff>190867</xdr:colOff>
      <xdr:row>36</xdr:row>
      <xdr:rowOff>2931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1044085</xdr:colOff>
      <xdr:row>21</xdr:row>
      <xdr:rowOff>0</xdr:rowOff>
    </xdr:from>
    <xdr:to>
      <xdr:col>9</xdr:col>
      <xdr:colOff>106606</xdr:colOff>
      <xdr:row>37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4</xdr:col>
      <xdr:colOff>772624</xdr:colOff>
      <xdr:row>37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202671</xdr:colOff>
      <xdr:row>81</xdr:row>
      <xdr:rowOff>109271</xdr:rowOff>
    </xdr:from>
    <xdr:to>
      <xdr:col>9</xdr:col>
      <xdr:colOff>317500</xdr:colOff>
      <xdr:row>93</xdr:row>
      <xdr:rowOff>10582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1600200</xdr:colOff>
      <xdr:row>62</xdr:row>
      <xdr:rowOff>112183</xdr:rowOff>
    </xdr:from>
    <xdr:to>
      <xdr:col>10</xdr:col>
      <xdr:colOff>228601</xdr:colOff>
      <xdr:row>81</xdr:row>
      <xdr:rowOff>140759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64</xdr:row>
      <xdr:rowOff>9525</xdr:rowOff>
    </xdr:from>
    <xdr:to>
      <xdr:col>20</xdr:col>
      <xdr:colOff>311151</xdr:colOff>
      <xdr:row>84</xdr:row>
      <xdr:rowOff>28576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96</xdr:col>
      <xdr:colOff>582083</xdr:colOff>
      <xdr:row>2</xdr:row>
      <xdr:rowOff>42334</xdr:rowOff>
    </xdr:from>
    <xdr:to>
      <xdr:col>100</xdr:col>
      <xdr:colOff>119796</xdr:colOff>
      <xdr:row>15</xdr:row>
      <xdr:rowOff>118534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109</xdr:col>
      <xdr:colOff>70681</xdr:colOff>
      <xdr:row>1</xdr:row>
      <xdr:rowOff>93926</xdr:rowOff>
    </xdr:from>
    <xdr:to>
      <xdr:col>116</xdr:col>
      <xdr:colOff>474904</xdr:colOff>
      <xdr:row>14</xdr:row>
      <xdr:rowOff>170126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100</xdr:col>
      <xdr:colOff>210154</xdr:colOff>
      <xdr:row>2</xdr:row>
      <xdr:rowOff>51404</xdr:rowOff>
    </xdr:from>
    <xdr:to>
      <xdr:col>106</xdr:col>
      <xdr:colOff>575824</xdr:colOff>
      <xdr:row>15</xdr:row>
      <xdr:rowOff>103792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114</xdr:col>
      <xdr:colOff>211666</xdr:colOff>
      <xdr:row>15</xdr:row>
      <xdr:rowOff>121708</xdr:rowOff>
    </xdr:from>
    <xdr:to>
      <xdr:col>122</xdr:col>
      <xdr:colOff>88046</xdr:colOff>
      <xdr:row>31</xdr:row>
      <xdr:rowOff>70908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100</xdr:col>
      <xdr:colOff>270630</xdr:colOff>
      <xdr:row>16</xdr:row>
      <xdr:rowOff>23812</xdr:rowOff>
    </xdr:from>
    <xdr:to>
      <xdr:col>106</xdr:col>
      <xdr:colOff>563729</xdr:colOff>
      <xdr:row>31</xdr:row>
      <xdr:rowOff>101147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96</xdr:col>
      <xdr:colOff>571501</xdr:colOff>
      <xdr:row>15</xdr:row>
      <xdr:rowOff>176893</xdr:rowOff>
    </xdr:from>
    <xdr:to>
      <xdr:col>100</xdr:col>
      <xdr:colOff>110725</xdr:colOff>
      <xdr:row>31</xdr:row>
      <xdr:rowOff>148772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127</xdr:col>
      <xdr:colOff>523875</xdr:colOff>
      <xdr:row>23</xdr:row>
      <xdr:rowOff>115094</xdr:rowOff>
    </xdr:from>
    <xdr:to>
      <xdr:col>135</xdr:col>
      <xdr:colOff>495504</xdr:colOff>
      <xdr:row>40</xdr:row>
      <xdr:rowOff>159544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135</xdr:col>
      <xdr:colOff>523875</xdr:colOff>
      <xdr:row>23</xdr:row>
      <xdr:rowOff>119061</xdr:rowOff>
    </xdr:from>
    <xdr:to>
      <xdr:col>143</xdr:col>
      <xdr:colOff>432004</xdr:colOff>
      <xdr:row>40</xdr:row>
      <xdr:rowOff>139699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128</xdr:col>
      <xdr:colOff>11906</xdr:colOff>
      <xdr:row>40</xdr:row>
      <xdr:rowOff>190499</xdr:rowOff>
    </xdr:from>
    <xdr:to>
      <xdr:col>135</xdr:col>
      <xdr:colOff>502119</xdr:colOff>
      <xdr:row>55</xdr:row>
      <xdr:rowOff>76199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135</xdr:col>
      <xdr:colOff>539750</xdr:colOff>
      <xdr:row>40</xdr:row>
      <xdr:rowOff>162719</xdr:rowOff>
    </xdr:from>
    <xdr:to>
      <xdr:col>143</xdr:col>
      <xdr:colOff>426713</xdr:colOff>
      <xdr:row>55</xdr:row>
      <xdr:rowOff>48419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127</xdr:col>
      <xdr:colOff>603250</xdr:colOff>
      <xdr:row>55</xdr:row>
      <xdr:rowOff>95250</xdr:rowOff>
    </xdr:from>
    <xdr:to>
      <xdr:col>135</xdr:col>
      <xdr:colOff>500796</xdr:colOff>
      <xdr:row>69</xdr:row>
      <xdr:rowOff>171450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135</xdr:col>
      <xdr:colOff>519906</xdr:colOff>
      <xdr:row>55</xdr:row>
      <xdr:rowOff>79375</xdr:rowOff>
    </xdr:from>
    <xdr:to>
      <xdr:col>143</xdr:col>
      <xdr:colOff>406868</xdr:colOff>
      <xdr:row>69</xdr:row>
      <xdr:rowOff>155575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97</xdr:col>
      <xdr:colOff>0</xdr:colOff>
      <xdr:row>64</xdr:row>
      <xdr:rowOff>0</xdr:rowOff>
    </xdr:from>
    <xdr:to>
      <xdr:col>100</xdr:col>
      <xdr:colOff>135671</xdr:colOff>
      <xdr:row>78</xdr:row>
      <xdr:rowOff>84137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100</xdr:col>
      <xdr:colOff>493567</xdr:colOff>
      <xdr:row>64</xdr:row>
      <xdr:rowOff>0</xdr:rowOff>
    </xdr:from>
    <xdr:to>
      <xdr:col>107</xdr:col>
      <xdr:colOff>450272</xdr:colOff>
      <xdr:row>78</xdr:row>
      <xdr:rowOff>84137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108</xdr:col>
      <xdr:colOff>0</xdr:colOff>
      <xdr:row>63</xdr:row>
      <xdr:rowOff>0</xdr:rowOff>
    </xdr:from>
    <xdr:to>
      <xdr:col>115</xdr:col>
      <xdr:colOff>242827</xdr:colOff>
      <xdr:row>77</xdr:row>
      <xdr:rowOff>84137</xdr:rowOff>
    </xdr:to>
    <xdr:graphicFrame macro="">
      <xdr:nvGraphicFramePr>
        <xdr:cNvPr id="27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97</xdr:col>
      <xdr:colOff>0</xdr:colOff>
      <xdr:row>79</xdr:row>
      <xdr:rowOff>0</xdr:rowOff>
    </xdr:from>
    <xdr:to>
      <xdr:col>100</xdr:col>
      <xdr:colOff>135671</xdr:colOff>
      <xdr:row>93</xdr:row>
      <xdr:rowOff>84137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101</xdr:col>
      <xdr:colOff>0</xdr:colOff>
      <xdr:row>80</xdr:row>
      <xdr:rowOff>0</xdr:rowOff>
    </xdr:from>
    <xdr:to>
      <xdr:col>107</xdr:col>
      <xdr:colOff>314264</xdr:colOff>
      <xdr:row>94</xdr:row>
      <xdr:rowOff>84137</xdr:rowOff>
    </xdr:to>
    <xdr:graphicFrame macro="">
      <xdr:nvGraphicFramePr>
        <xdr:cNvPr id="29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108</xdr:col>
      <xdr:colOff>0</xdr:colOff>
      <xdr:row>79</xdr:row>
      <xdr:rowOff>0</xdr:rowOff>
    </xdr:from>
    <xdr:to>
      <xdr:col>115</xdr:col>
      <xdr:colOff>242827</xdr:colOff>
      <xdr:row>93</xdr:row>
      <xdr:rowOff>84137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98</xdr:col>
      <xdr:colOff>0</xdr:colOff>
      <xdr:row>96</xdr:row>
      <xdr:rowOff>0</xdr:rowOff>
    </xdr:from>
    <xdr:to>
      <xdr:col>101</xdr:col>
      <xdr:colOff>4703</xdr:colOff>
      <xdr:row>112</xdr:row>
      <xdr:rowOff>84137</xdr:rowOff>
    </xdr:to>
    <xdr:graphicFrame macro="">
      <xdr:nvGraphicFramePr>
        <xdr:cNvPr id="31" name="Grá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219075</xdr:colOff>
      <xdr:row>50</xdr:row>
      <xdr:rowOff>19050</xdr:rowOff>
    </xdr:from>
    <xdr:to>
      <xdr:col>23</xdr:col>
      <xdr:colOff>53121</xdr:colOff>
      <xdr:row>67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67</xdr:row>
      <xdr:rowOff>19050</xdr:rowOff>
    </xdr:from>
    <xdr:to>
      <xdr:col>17</xdr:col>
      <xdr:colOff>224571</xdr:colOff>
      <xdr:row>82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561975</xdr:colOff>
      <xdr:row>81</xdr:row>
      <xdr:rowOff>133350</xdr:rowOff>
    </xdr:from>
    <xdr:to>
      <xdr:col>16</xdr:col>
      <xdr:colOff>234096</xdr:colOff>
      <xdr:row>96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323850</xdr:colOff>
      <xdr:row>95</xdr:row>
      <xdr:rowOff>0</xdr:rowOff>
    </xdr:from>
    <xdr:to>
      <xdr:col>15</xdr:col>
      <xdr:colOff>672246</xdr:colOff>
      <xdr:row>111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352425</xdr:colOff>
      <xdr:row>56</xdr:row>
      <xdr:rowOff>9524</xdr:rowOff>
    </xdr:from>
    <xdr:to>
      <xdr:col>34</xdr:col>
      <xdr:colOff>19050</xdr:colOff>
      <xdr:row>75</xdr:row>
      <xdr:rowOff>152399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78</xdr:row>
      <xdr:rowOff>0</xdr:rowOff>
    </xdr:from>
    <xdr:to>
      <xdr:col>33</xdr:col>
      <xdr:colOff>276225</xdr:colOff>
      <xdr:row>96</xdr:row>
      <xdr:rowOff>38100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32</xdr:row>
      <xdr:rowOff>0</xdr:rowOff>
    </xdr:from>
    <xdr:to>
      <xdr:col>15</xdr:col>
      <xdr:colOff>367446</xdr:colOff>
      <xdr:row>46</xdr:row>
      <xdr:rowOff>295275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49</xdr:row>
      <xdr:rowOff>0</xdr:rowOff>
    </xdr:from>
    <xdr:to>
      <xdr:col>14</xdr:col>
      <xdr:colOff>519846</xdr:colOff>
      <xdr:row>64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67</xdr:row>
      <xdr:rowOff>0</xdr:rowOff>
    </xdr:from>
    <xdr:to>
      <xdr:col>14</xdr:col>
      <xdr:colOff>519846</xdr:colOff>
      <xdr:row>81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466724</xdr:colOff>
      <xdr:row>83</xdr:row>
      <xdr:rowOff>0</xdr:rowOff>
    </xdr:from>
    <xdr:to>
      <xdr:col>16</xdr:col>
      <xdr:colOff>38099</xdr:colOff>
      <xdr:row>99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114300</xdr:colOff>
      <xdr:row>100</xdr:row>
      <xdr:rowOff>133350</xdr:rowOff>
    </xdr:from>
    <xdr:to>
      <xdr:col>14</xdr:col>
      <xdr:colOff>34071</xdr:colOff>
      <xdr:row>117</xdr:row>
      <xdr:rowOff>123825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5</xdr:col>
      <xdr:colOff>824646</xdr:colOff>
      <xdr:row>119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504825</xdr:colOff>
      <xdr:row>17</xdr:row>
      <xdr:rowOff>133350</xdr:rowOff>
    </xdr:from>
    <xdr:to>
      <xdr:col>15</xdr:col>
      <xdr:colOff>415071</xdr:colOff>
      <xdr:row>33</xdr:row>
      <xdr:rowOff>104775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504825</xdr:colOff>
      <xdr:row>2</xdr:row>
      <xdr:rowOff>142875</xdr:rowOff>
    </xdr:from>
    <xdr:to>
      <xdr:col>15</xdr:col>
      <xdr:colOff>415071</xdr:colOff>
      <xdr:row>18</xdr:row>
      <xdr:rowOff>114300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4</xdr:row>
      <xdr:rowOff>0</xdr:rowOff>
    </xdr:from>
    <xdr:to>
      <xdr:col>26</xdr:col>
      <xdr:colOff>519846</xdr:colOff>
      <xdr:row>19</xdr:row>
      <xdr:rowOff>133350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238125</xdr:colOff>
      <xdr:row>20</xdr:row>
      <xdr:rowOff>95250</xdr:rowOff>
    </xdr:from>
    <xdr:to>
      <xdr:col>32</xdr:col>
      <xdr:colOff>390525</xdr:colOff>
      <xdr:row>36</xdr:row>
      <xdr:rowOff>133350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60614</xdr:colOff>
      <xdr:row>38</xdr:row>
      <xdr:rowOff>43294</xdr:rowOff>
    </xdr:from>
    <xdr:to>
      <xdr:col>31</xdr:col>
      <xdr:colOff>594013</xdr:colOff>
      <xdr:row>61</xdr:row>
      <xdr:rowOff>164521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4.bcb.gov.br/pec/taxas/batch/taxas.asp?id=txdolar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eosweb.larc.nasa.gov/cgi-bin/sse/sse.cgi?skip@larc.nasa.gov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0"/>
  </sheetPr>
  <dimension ref="A1:S30"/>
  <sheetViews>
    <sheetView showGridLines="0" tabSelected="1" zoomScale="80" zoomScaleNormal="80" workbookViewId="0">
      <selection activeCell="W5" sqref="W5"/>
    </sheetView>
  </sheetViews>
  <sheetFormatPr defaultRowHeight="15" customHeight="1" x14ac:dyDescent="0.25"/>
  <cols>
    <col min="1" max="1" width="11.140625" style="15" bestFit="1" customWidth="1"/>
    <col min="2" max="15" width="9.140625" style="15"/>
    <col min="16" max="16" width="23.28515625" style="15" customWidth="1"/>
    <col min="17" max="16384" width="9.140625" style="15"/>
  </cols>
  <sheetData>
    <row r="1" spans="1:19" ht="15" customHeight="1" x14ac:dyDescent="0.25">
      <c r="A1" s="580" t="s">
        <v>58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</row>
    <row r="3" spans="1:19" ht="23.25" x14ac:dyDescent="0.25">
      <c r="A3" s="14"/>
    </row>
    <row r="13" spans="1:19" ht="12.75" x14ac:dyDescent="0.25"/>
    <row r="20" spans="1:19" ht="21.75" customHeight="1" x14ac:dyDescent="0.25"/>
    <row r="21" spans="1:19" ht="15" customHeight="1" x14ac:dyDescent="0.25">
      <c r="P21" s="581"/>
    </row>
    <row r="22" spans="1:19" ht="15" customHeight="1" x14ac:dyDescent="0.25">
      <c r="P22" s="581"/>
    </row>
    <row r="24" spans="1:19" ht="15" customHeight="1" x14ac:dyDescent="0.25">
      <c r="Q24" s="22"/>
    </row>
    <row r="25" spans="1:19" ht="30" customHeight="1" x14ac:dyDescent="0.25">
      <c r="A25" s="583" t="s">
        <v>392</v>
      </c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</row>
    <row r="26" spans="1:19" ht="27.75" x14ac:dyDescent="0.25">
      <c r="A26" s="582" t="s">
        <v>390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</row>
    <row r="27" spans="1:19" ht="27.75" x14ac:dyDescent="0.25">
      <c r="A27" s="582" t="s">
        <v>391</v>
      </c>
      <c r="B27" s="582"/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</row>
    <row r="28" spans="1:19" ht="27.75" x14ac:dyDescent="0.25">
      <c r="A28" s="582" t="s">
        <v>393</v>
      </c>
      <c r="B28" s="582"/>
      <c r="C28" s="582"/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 s="582"/>
      <c r="P28" s="582"/>
      <c r="Q28" s="582"/>
      <c r="R28" s="582"/>
      <c r="S28" s="582"/>
    </row>
    <row r="29" spans="1:19" s="17" customFormat="1" ht="53.2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5" customHeight="1" x14ac:dyDescent="0.25">
      <c r="A30" s="17"/>
      <c r="B30" s="17"/>
      <c r="C30" s="17"/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sheetProtection selectLockedCells="1"/>
  <mergeCells count="6">
    <mergeCell ref="A1:S1"/>
    <mergeCell ref="P21:P22"/>
    <mergeCell ref="A26:S26"/>
    <mergeCell ref="A27:S27"/>
    <mergeCell ref="A28:S28"/>
    <mergeCell ref="A25:S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rgb="FFFFFF00"/>
  </sheetPr>
  <dimension ref="A2:V19"/>
  <sheetViews>
    <sheetView showGridLines="0" zoomScaleNormal="100" workbookViewId="0">
      <selection activeCell="A2" sqref="A2"/>
    </sheetView>
  </sheetViews>
  <sheetFormatPr defaultRowHeight="15" x14ac:dyDescent="0.25"/>
  <cols>
    <col min="2" max="2" width="7.28515625" style="75" bestFit="1" customWidth="1"/>
    <col min="3" max="3" width="15" style="75" customWidth="1"/>
    <col min="4" max="4" width="12.5703125" style="75" bestFit="1" customWidth="1"/>
    <col min="5" max="5" width="7.85546875" style="75" bestFit="1" customWidth="1"/>
    <col min="6" max="6" width="7" style="75" bestFit="1" customWidth="1"/>
    <col min="7" max="7" width="6.85546875" style="75" bestFit="1" customWidth="1"/>
    <col min="8" max="8" width="7.85546875" style="75" bestFit="1" customWidth="1"/>
    <col min="9" max="9" width="6.85546875" style="75" bestFit="1" customWidth="1"/>
    <col min="10" max="14" width="5.85546875" style="75" bestFit="1" customWidth="1"/>
    <col min="15" max="17" width="12.7109375" style="75" customWidth="1"/>
    <col min="18" max="16384" width="9.140625" style="75"/>
  </cols>
  <sheetData>
    <row r="2" spans="2:22" x14ac:dyDescent="0.25">
      <c r="B2" s="193" t="s">
        <v>466</v>
      </c>
      <c r="C2" s="193"/>
    </row>
    <row r="3" spans="2:22" s="117" customFormat="1" ht="15" customHeight="1" x14ac:dyDescent="0.2">
      <c r="B3" s="608" t="s">
        <v>57</v>
      </c>
      <c r="C3" s="611" t="s">
        <v>100</v>
      </c>
      <c r="D3" s="224" t="s">
        <v>295</v>
      </c>
      <c r="E3" s="215" t="s">
        <v>1</v>
      </c>
      <c r="F3" s="215" t="s">
        <v>297</v>
      </c>
      <c r="G3" s="215" t="s">
        <v>3</v>
      </c>
      <c r="H3" s="215" t="s">
        <v>4</v>
      </c>
      <c r="I3" s="215" t="s">
        <v>5</v>
      </c>
      <c r="J3" s="215" t="s">
        <v>7</v>
      </c>
      <c r="K3" s="215" t="s">
        <v>8</v>
      </c>
      <c r="L3" s="215" t="s">
        <v>9</v>
      </c>
      <c r="M3" s="215" t="s">
        <v>10</v>
      </c>
      <c r="N3" s="215" t="s">
        <v>11</v>
      </c>
      <c r="O3" s="472" t="s">
        <v>1</v>
      </c>
      <c r="P3" s="223"/>
      <c r="Q3" s="223"/>
      <c r="R3" s="223"/>
      <c r="S3" s="223"/>
      <c r="T3" s="223"/>
      <c r="U3" s="223"/>
      <c r="V3" s="223"/>
    </row>
    <row r="4" spans="2:22" s="117" customFormat="1" ht="12.75" x14ac:dyDescent="0.2">
      <c r="B4" s="609"/>
      <c r="C4" s="612"/>
      <c r="D4" s="217" t="s">
        <v>42</v>
      </c>
      <c r="E4" s="610" t="s">
        <v>21</v>
      </c>
      <c r="F4" s="610"/>
      <c r="G4" s="610"/>
      <c r="H4" s="610"/>
      <c r="I4" s="610"/>
      <c r="J4" s="610" t="s">
        <v>21</v>
      </c>
      <c r="K4" s="610"/>
      <c r="L4" s="610"/>
      <c r="M4" s="610"/>
      <c r="N4" s="610"/>
      <c r="O4" s="472" t="s">
        <v>24</v>
      </c>
      <c r="P4" s="223"/>
      <c r="Q4" s="223"/>
      <c r="R4" s="223"/>
      <c r="S4" s="223"/>
      <c r="T4" s="223"/>
      <c r="U4" s="223"/>
      <c r="V4" s="223"/>
    </row>
    <row r="5" spans="2:22" s="117" customFormat="1" ht="12.75" x14ac:dyDescent="0.2">
      <c r="B5" s="272" t="s">
        <v>71</v>
      </c>
      <c r="C5" s="276">
        <v>1</v>
      </c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508">
        <f>E5*C5</f>
        <v>0</v>
      </c>
      <c r="P5" s="223"/>
      <c r="Q5" s="223"/>
      <c r="R5" s="223"/>
      <c r="S5" s="223"/>
      <c r="T5" s="223"/>
      <c r="U5" s="223"/>
      <c r="V5" s="223"/>
    </row>
    <row r="6" spans="2:22" s="117" customFormat="1" ht="12.75" x14ac:dyDescent="0.2">
      <c r="B6" s="272" t="s">
        <v>70</v>
      </c>
      <c r="C6" s="273">
        <v>1.5</v>
      </c>
      <c r="D6" s="371">
        <v>3986.9333333333334</v>
      </c>
      <c r="E6" s="371">
        <v>89.706000000000003</v>
      </c>
      <c r="F6" s="371">
        <v>5.0634053333333329</v>
      </c>
      <c r="G6" s="371">
        <v>5.4992183908045975</v>
      </c>
      <c r="H6" s="371">
        <v>57.485996959999987</v>
      </c>
      <c r="I6" s="371">
        <v>15.907864000000002</v>
      </c>
      <c r="J6" s="371">
        <v>0.2033336</v>
      </c>
      <c r="K6" s="371">
        <v>3.6679786666666665E-2</v>
      </c>
      <c r="L6" s="371">
        <v>0.97998821333333341</v>
      </c>
      <c r="M6" s="371">
        <v>0.99513855999999989</v>
      </c>
      <c r="N6" s="371">
        <v>6.2993546666666664E-2</v>
      </c>
      <c r="O6" s="508">
        <f>E6*C6+'9 -18 Nutrientes solo prof.'!E26</f>
        <v>135.90458999999998</v>
      </c>
      <c r="P6" s="223"/>
      <c r="Q6" s="223"/>
      <c r="R6" s="223"/>
      <c r="S6" s="223"/>
      <c r="T6" s="223"/>
      <c r="U6" s="223"/>
      <c r="V6" s="223"/>
    </row>
    <row r="7" spans="2:22" s="117" customFormat="1" ht="12.75" x14ac:dyDescent="0.2">
      <c r="B7" s="272" t="s">
        <v>73</v>
      </c>
      <c r="C7" s="273">
        <v>1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508">
        <f>E7*C7+'9 -18 Nutrientes solo prof.'!E27</f>
        <v>0</v>
      </c>
      <c r="P7" s="223"/>
      <c r="Q7" s="223"/>
      <c r="R7" s="223"/>
      <c r="S7" s="223"/>
      <c r="T7" s="223"/>
      <c r="U7" s="223"/>
      <c r="V7" s="223"/>
    </row>
    <row r="8" spans="2:22" s="117" customFormat="1" ht="12.75" x14ac:dyDescent="0.2">
      <c r="B8" s="272" t="s">
        <v>72</v>
      </c>
      <c r="C8" s="273">
        <v>5</v>
      </c>
      <c r="D8" s="371">
        <v>8618.5333333333328</v>
      </c>
      <c r="E8" s="371">
        <v>155.13359999999997</v>
      </c>
      <c r="F8" s="371">
        <v>6.9810119999999998</v>
      </c>
      <c r="G8" s="371">
        <v>5.2833920817369089</v>
      </c>
      <c r="H8" s="371">
        <v>186.02069976000001</v>
      </c>
      <c r="I8" s="371">
        <v>26.641610239999999</v>
      </c>
      <c r="J8" s="371">
        <v>0.48263786666666664</v>
      </c>
      <c r="K8" s="371">
        <v>0.17581807999999999</v>
      </c>
      <c r="L8" s="371">
        <v>2.5304013866666666</v>
      </c>
      <c r="M8" s="371">
        <v>2.25977944</v>
      </c>
      <c r="N8" s="371">
        <v>0.10514610666666666</v>
      </c>
      <c r="O8" s="508">
        <f>E8*C8+'9 -18 Nutrientes solo prof.'!E28</f>
        <v>783.42467999999985</v>
      </c>
      <c r="P8" s="223"/>
      <c r="Q8" s="223"/>
      <c r="R8" s="223"/>
      <c r="S8" s="223"/>
      <c r="T8" s="223"/>
      <c r="U8" s="223"/>
      <c r="V8" s="223"/>
    </row>
    <row r="9" spans="2:22" s="117" customFormat="1" ht="12.75" x14ac:dyDescent="0.2">
      <c r="B9" s="272" t="s">
        <v>75</v>
      </c>
      <c r="C9" s="273">
        <v>1</v>
      </c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508">
        <f>E9*C9+'9 -18 Nutrientes solo prof.'!E29</f>
        <v>0</v>
      </c>
      <c r="P9" s="223"/>
      <c r="Q9" s="223"/>
      <c r="R9" s="223"/>
      <c r="S9" s="223"/>
      <c r="T9" s="223"/>
      <c r="U9" s="223"/>
      <c r="V9" s="223"/>
    </row>
    <row r="10" spans="2:22" s="117" customFormat="1" ht="12.75" x14ac:dyDescent="0.2">
      <c r="B10" s="272" t="s">
        <v>74</v>
      </c>
      <c r="C10" s="273">
        <v>8</v>
      </c>
      <c r="D10" s="371">
        <v>7720.9333333333343</v>
      </c>
      <c r="E10" s="371">
        <v>150.5582</v>
      </c>
      <c r="F10" s="371">
        <v>4.8641880000000013</v>
      </c>
      <c r="G10" s="371">
        <v>10.649563218390806</v>
      </c>
      <c r="H10" s="371">
        <v>82.366916800000027</v>
      </c>
      <c r="I10" s="371">
        <v>20.1053104</v>
      </c>
      <c r="J10" s="371">
        <v>0.38604666666666676</v>
      </c>
      <c r="K10" s="371">
        <v>8.6474453333333354E-2</v>
      </c>
      <c r="L10" s="371">
        <v>1.6337494933333336</v>
      </c>
      <c r="M10" s="371">
        <v>1.7109588266666671</v>
      </c>
      <c r="N10" s="371">
        <v>0.12507912000000002</v>
      </c>
      <c r="O10" s="508">
        <f>E10*C10+'9 -18 Nutrientes solo prof.'!E30</f>
        <v>1216.510256</v>
      </c>
      <c r="P10" s="223"/>
      <c r="Q10" s="223"/>
      <c r="R10" s="223"/>
      <c r="S10" s="223"/>
      <c r="T10" s="223"/>
      <c r="U10" s="223"/>
      <c r="V10" s="223"/>
    </row>
    <row r="11" spans="2:22" s="117" customFormat="1" ht="12.75" x14ac:dyDescent="0.2">
      <c r="B11" s="272" t="s">
        <v>77</v>
      </c>
      <c r="C11" s="273">
        <v>1</v>
      </c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508">
        <f>E11*C11+'9 -18 Nutrientes solo prof.'!E31</f>
        <v>0</v>
      </c>
      <c r="P11" s="223"/>
      <c r="Q11" s="223"/>
      <c r="R11" s="223"/>
      <c r="S11" s="223"/>
      <c r="T11" s="223"/>
      <c r="U11" s="223"/>
      <c r="V11" s="223"/>
    </row>
    <row r="12" spans="2:22" s="117" customFormat="1" ht="12.75" x14ac:dyDescent="0.2">
      <c r="B12" s="272" t="s">
        <v>76</v>
      </c>
      <c r="C12" s="273">
        <v>14</v>
      </c>
      <c r="D12" s="372">
        <v>10923.133333333335</v>
      </c>
      <c r="E12" s="372">
        <v>196.61640000000003</v>
      </c>
      <c r="F12" s="372">
        <v>4.9154100000000005</v>
      </c>
      <c r="G12" s="372">
        <v>10.881282247765007</v>
      </c>
      <c r="H12" s="372">
        <v>176.07654008000003</v>
      </c>
      <c r="I12" s="372">
        <v>26.241735520000006</v>
      </c>
      <c r="J12" s="372">
        <v>0.58984920000000007</v>
      </c>
      <c r="K12" s="372">
        <v>0.13763148</v>
      </c>
      <c r="L12" s="372">
        <v>6.0623390000000015</v>
      </c>
      <c r="M12" s="372">
        <v>1.7848399866666669</v>
      </c>
      <c r="N12" s="372">
        <v>0.68815740000000014</v>
      </c>
      <c r="O12" s="508">
        <f>E12*C12+'9 -18 Nutrientes solo prof.'!E32</f>
        <v>2780.1558960000002</v>
      </c>
      <c r="P12" s="223"/>
      <c r="Q12" s="223"/>
      <c r="R12" s="223"/>
      <c r="S12" s="223"/>
      <c r="T12" s="223"/>
      <c r="U12" s="223"/>
      <c r="V12" s="223"/>
    </row>
    <row r="13" spans="2:22" s="117" customFormat="1" ht="12.75" x14ac:dyDescent="0.2">
      <c r="B13" s="272" t="s">
        <v>79</v>
      </c>
      <c r="C13" s="273">
        <v>1</v>
      </c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508">
        <f>E13*C13+'9 -18 Nutrientes solo prof.'!E33</f>
        <v>0</v>
      </c>
      <c r="P13" s="223"/>
      <c r="Q13" s="223"/>
      <c r="R13" s="223"/>
      <c r="S13" s="223"/>
      <c r="T13" s="223"/>
      <c r="U13" s="223"/>
      <c r="V13" s="223"/>
    </row>
    <row r="14" spans="2:22" s="117" customFormat="1" ht="12.75" x14ac:dyDescent="0.2">
      <c r="B14" s="272" t="s">
        <v>78</v>
      </c>
      <c r="C14" s="273">
        <v>20</v>
      </c>
      <c r="D14" s="372">
        <v>10806.533333333333</v>
      </c>
      <c r="E14" s="372">
        <v>232.34046666666666</v>
      </c>
      <c r="F14" s="372">
        <v>8.1048999999999989</v>
      </c>
      <c r="G14" s="372">
        <v>19.045997445721582</v>
      </c>
      <c r="H14" s="372">
        <v>218.67668592000001</v>
      </c>
      <c r="I14" s="372">
        <v>21.785971199999999</v>
      </c>
      <c r="J14" s="372">
        <v>0.60516586666666672</v>
      </c>
      <c r="K14" s="372">
        <v>0.10374271999999998</v>
      </c>
      <c r="L14" s="372">
        <v>3.2700569866666664</v>
      </c>
      <c r="M14" s="372">
        <v>1.0482337333333334</v>
      </c>
      <c r="N14" s="372">
        <v>0.7564573333333332</v>
      </c>
      <c r="O14" s="508">
        <f>E14*C14+'9 -18 Nutrientes solo prof.'!E34</f>
        <v>4693.2774266666656</v>
      </c>
      <c r="P14" s="223"/>
      <c r="Q14" s="223"/>
      <c r="R14" s="223"/>
      <c r="S14" s="223"/>
      <c r="T14" s="223"/>
      <c r="U14" s="223"/>
      <c r="V14" s="223"/>
    </row>
    <row r="15" spans="2:22" s="117" customFormat="1" ht="12.75" x14ac:dyDescent="0.2">
      <c r="B15" s="272" t="s">
        <v>81</v>
      </c>
      <c r="C15" s="273">
        <v>1</v>
      </c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508">
        <f>E15*C15+'9 -18 Nutrientes solo prof.'!E35</f>
        <v>0</v>
      </c>
      <c r="P15" s="223"/>
      <c r="Q15" s="223"/>
      <c r="R15" s="223"/>
      <c r="S15" s="223"/>
      <c r="T15" s="223"/>
      <c r="U15" s="223"/>
      <c r="V15" s="223"/>
    </row>
    <row r="16" spans="2:22" s="117" customFormat="1" ht="12.75" x14ac:dyDescent="0.2">
      <c r="B16" s="272" t="s">
        <v>80</v>
      </c>
      <c r="C16" s="273">
        <v>26</v>
      </c>
      <c r="D16" s="372">
        <v>11695.533333333335</v>
      </c>
      <c r="E16" s="372">
        <v>304.08386666666672</v>
      </c>
      <c r="F16" s="372">
        <v>9.9412033333333341</v>
      </c>
      <c r="G16" s="372">
        <v>29.574911877394637</v>
      </c>
      <c r="H16" s="372">
        <v>239.95725740000003</v>
      </c>
      <c r="I16" s="372">
        <v>38.707537120000005</v>
      </c>
      <c r="J16" s="372">
        <v>0.6081677333333334</v>
      </c>
      <c r="K16" s="372">
        <v>0.12631176000000002</v>
      </c>
      <c r="L16" s="372">
        <v>2.4350100399999999</v>
      </c>
      <c r="M16" s="372">
        <v>1.4291941733333335</v>
      </c>
      <c r="N16" s="372">
        <v>2.3157155999999999</v>
      </c>
      <c r="O16" s="508">
        <f>E16*C16+'9 -18 Nutrientes solo prof.'!E36</f>
        <v>7985.2423386666687</v>
      </c>
      <c r="P16" s="223"/>
      <c r="Q16" s="223"/>
      <c r="R16" s="223"/>
      <c r="S16" s="223"/>
      <c r="T16" s="223"/>
      <c r="U16" s="223"/>
      <c r="V16" s="223"/>
    </row>
    <row r="17" spans="2:22" s="117" customFormat="1" ht="12.75" x14ac:dyDescent="0.2">
      <c r="B17" s="272" t="s">
        <v>83</v>
      </c>
      <c r="C17" s="273">
        <v>1</v>
      </c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508">
        <f>E17*C17+'9 -18 Nutrientes solo prof.'!E37</f>
        <v>0</v>
      </c>
      <c r="P17" s="223"/>
      <c r="Q17" s="223"/>
      <c r="R17" s="223"/>
      <c r="S17" s="223"/>
      <c r="T17" s="223"/>
      <c r="U17" s="223"/>
      <c r="V17" s="223"/>
    </row>
    <row r="18" spans="2:22" s="117" customFormat="1" ht="12.75" x14ac:dyDescent="0.2">
      <c r="B18" s="277" t="s">
        <v>82</v>
      </c>
      <c r="C18" s="278">
        <v>200</v>
      </c>
      <c r="D18" s="373">
        <v>14588.533333333333</v>
      </c>
      <c r="E18" s="373">
        <v>350.12479999999999</v>
      </c>
      <c r="F18" s="373">
        <v>10.357858666666665</v>
      </c>
      <c r="G18" s="373">
        <v>48.069496807151985</v>
      </c>
      <c r="H18" s="373">
        <v>390.42416448000006</v>
      </c>
      <c r="I18" s="373">
        <v>54.409393919999992</v>
      </c>
      <c r="J18" s="373">
        <v>0.87531199999999998</v>
      </c>
      <c r="K18" s="373">
        <v>0.19548634666666667</v>
      </c>
      <c r="L18" s="373">
        <v>2.8972827199999998</v>
      </c>
      <c r="M18" s="373">
        <v>2.1153373333333336</v>
      </c>
      <c r="N18" s="373">
        <v>0.47850389333333337</v>
      </c>
      <c r="O18" s="509">
        <f>E18*C18+'9 -18 Nutrientes solo prof.'!E38</f>
        <v>70725.209599999987</v>
      </c>
      <c r="P18" s="223"/>
      <c r="Q18" s="223"/>
      <c r="R18" s="223"/>
      <c r="S18" s="223"/>
      <c r="T18" s="223"/>
      <c r="U18" s="223"/>
      <c r="V18" s="223"/>
    </row>
    <row r="19" spans="2:22" s="117" customFormat="1" ht="12.75" x14ac:dyDescent="0.2">
      <c r="O19" s="223"/>
      <c r="P19" s="223"/>
      <c r="Q19" s="223"/>
      <c r="R19" s="223"/>
      <c r="S19" s="223"/>
      <c r="T19" s="223"/>
      <c r="U19" s="223"/>
      <c r="V19" s="223"/>
    </row>
  </sheetData>
  <mergeCells count="4">
    <mergeCell ref="B3:B4"/>
    <mergeCell ref="E4:I4"/>
    <mergeCell ref="J4:N4"/>
    <mergeCell ref="C3:C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rgb="FFFFFF00"/>
  </sheetPr>
  <dimension ref="C3:X38"/>
  <sheetViews>
    <sheetView showGridLines="0" workbookViewId="0">
      <selection activeCell="B2" sqref="B2"/>
    </sheetView>
  </sheetViews>
  <sheetFormatPr defaultRowHeight="15" customHeight="1" x14ac:dyDescent="0.2"/>
  <cols>
    <col min="1" max="1" width="3" style="212" customWidth="1"/>
    <col min="2" max="2" width="10.85546875" style="212" customWidth="1"/>
    <col min="3" max="4" width="13" style="212" customWidth="1"/>
    <col min="5" max="5" width="9.85546875" style="212" customWidth="1"/>
    <col min="6" max="9" width="10.7109375" style="212" bestFit="1" customWidth="1"/>
    <col min="10" max="10" width="9.140625" style="212"/>
    <col min="11" max="11" width="11" style="212" customWidth="1"/>
    <col min="12" max="15" width="9.140625" style="212"/>
    <col min="16" max="19" width="10.7109375" style="212" bestFit="1" customWidth="1"/>
    <col min="20" max="16384" width="9.140625" style="212"/>
  </cols>
  <sheetData>
    <row r="3" spans="3:24" ht="15" customHeight="1" x14ac:dyDescent="0.2">
      <c r="C3" s="216" t="s">
        <v>467</v>
      </c>
      <c r="D3" s="216"/>
    </row>
    <row r="4" spans="3:24" ht="12.75" x14ac:dyDescent="0.2">
      <c r="C4" s="608" t="s">
        <v>57</v>
      </c>
      <c r="D4" s="611" t="s">
        <v>100</v>
      </c>
      <c r="E4" s="211" t="s">
        <v>1</v>
      </c>
      <c r="F4" s="211" t="s">
        <v>2</v>
      </c>
      <c r="G4" s="211" t="s">
        <v>3</v>
      </c>
      <c r="H4" s="211" t="s">
        <v>4</v>
      </c>
      <c r="I4" s="211" t="s">
        <v>5</v>
      </c>
      <c r="J4" s="211" t="s">
        <v>7</v>
      </c>
      <c r="K4" s="211" t="s">
        <v>8</v>
      </c>
      <c r="L4" s="211" t="s">
        <v>9</v>
      </c>
      <c r="M4" s="211" t="s">
        <v>10</v>
      </c>
      <c r="N4" s="211" t="s">
        <v>11</v>
      </c>
      <c r="Q4" s="213"/>
      <c r="R4" s="213"/>
      <c r="S4" s="213"/>
      <c r="T4" s="213"/>
      <c r="U4" s="213"/>
      <c r="V4" s="213"/>
      <c r="W4" s="213"/>
      <c r="X4" s="213"/>
    </row>
    <row r="5" spans="3:24" ht="12.75" customHeight="1" x14ac:dyDescent="0.2">
      <c r="C5" s="609"/>
      <c r="D5" s="612"/>
      <c r="E5" s="613" t="s">
        <v>21</v>
      </c>
      <c r="F5" s="613"/>
      <c r="G5" s="613"/>
      <c r="H5" s="613"/>
      <c r="I5" s="613"/>
      <c r="J5" s="613"/>
      <c r="K5" s="613"/>
      <c r="L5" s="613"/>
      <c r="M5" s="613"/>
      <c r="N5" s="613"/>
      <c r="Q5" s="213"/>
      <c r="R5" s="213"/>
      <c r="S5" s="213"/>
      <c r="T5" s="213"/>
      <c r="U5" s="213"/>
      <c r="V5" s="213"/>
      <c r="W5" s="213"/>
      <c r="X5" s="213"/>
    </row>
    <row r="6" spans="3:24" ht="12.75" customHeight="1" x14ac:dyDescent="0.2">
      <c r="C6" s="272" t="s">
        <v>71</v>
      </c>
      <c r="D6" s="276">
        <v>1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Q6" s="213"/>
      <c r="R6" s="213"/>
      <c r="S6" s="213"/>
      <c r="T6" s="213"/>
      <c r="U6" s="213"/>
      <c r="V6" s="213"/>
      <c r="W6" s="213"/>
      <c r="X6" s="213"/>
    </row>
    <row r="7" spans="3:24" ht="12.75" x14ac:dyDescent="0.2">
      <c r="C7" s="272" t="s">
        <v>70</v>
      </c>
      <c r="D7" s="273">
        <v>1.5</v>
      </c>
      <c r="E7" s="387">
        <f>'8  N2'!E6*1%</f>
        <v>0.89706000000000008</v>
      </c>
      <c r="F7" s="387">
        <f>'8  N2'!F6*1%</f>
        <v>5.0634053333333331E-2</v>
      </c>
      <c r="G7" s="387">
        <f>'8  N2'!G6*1%</f>
        <v>5.4992183908045979E-2</v>
      </c>
      <c r="H7" s="387">
        <f>'8  N2'!H6*1%</f>
        <v>0.57485996959999985</v>
      </c>
      <c r="I7" s="387">
        <f>'8  N2'!I6*1%</f>
        <v>0.15907864000000002</v>
      </c>
      <c r="J7" s="387">
        <f>'8  N2'!J6*1%</f>
        <v>2.0333360000000002E-3</v>
      </c>
      <c r="K7" s="387">
        <f>'8  N2'!K6*1%</f>
        <v>3.6679786666666669E-4</v>
      </c>
      <c r="L7" s="387">
        <f>'8  N2'!L6*1%</f>
        <v>9.799882133333335E-3</v>
      </c>
      <c r="M7" s="387">
        <f>'8  N2'!M6*1%</f>
        <v>9.9513855999999994E-3</v>
      </c>
      <c r="N7" s="387">
        <f>'8  N2'!N6*1%</f>
        <v>6.2993546666666666E-4</v>
      </c>
      <c r="Q7" s="213"/>
      <c r="R7" s="213"/>
      <c r="S7" s="213"/>
      <c r="T7" s="213"/>
      <c r="U7" s="213"/>
      <c r="V7" s="213"/>
      <c r="W7" s="213"/>
      <c r="X7" s="213"/>
    </row>
    <row r="8" spans="3:24" ht="12.75" x14ac:dyDescent="0.2">
      <c r="C8" s="272" t="s">
        <v>73</v>
      </c>
      <c r="D8" s="273">
        <v>1</v>
      </c>
      <c r="E8" s="387"/>
      <c r="F8" s="387"/>
      <c r="G8" s="387"/>
      <c r="H8" s="387"/>
      <c r="I8" s="387"/>
      <c r="J8" s="387"/>
      <c r="K8" s="387"/>
      <c r="L8" s="387"/>
      <c r="M8" s="387"/>
      <c r="N8" s="387"/>
      <c r="Q8" s="213"/>
      <c r="R8" s="213"/>
      <c r="S8" s="213"/>
      <c r="T8" s="213"/>
      <c r="U8" s="213"/>
      <c r="V8" s="213"/>
      <c r="W8" s="213"/>
      <c r="X8" s="213"/>
    </row>
    <row r="9" spans="3:24" ht="12.75" x14ac:dyDescent="0.2">
      <c r="C9" s="272" t="s">
        <v>72</v>
      </c>
      <c r="D9" s="273">
        <v>5</v>
      </c>
      <c r="E9" s="387">
        <f>'8  N2'!E8*1%</f>
        <v>1.5513359999999998</v>
      </c>
      <c r="F9" s="387">
        <f>'8  N2'!F8*1%</f>
        <v>6.9810120000000003E-2</v>
      </c>
      <c r="G9" s="387">
        <f>'8  N2'!G8*1%</f>
        <v>5.2833920817369089E-2</v>
      </c>
      <c r="H9" s="387">
        <f>'8  N2'!H8*1%</f>
        <v>1.8602069976000002</v>
      </c>
      <c r="I9" s="387">
        <f>'8  N2'!I8*1%</f>
        <v>0.26641610239999997</v>
      </c>
      <c r="J9" s="387">
        <f>'8  N2'!J8*1%</f>
        <v>4.8263786666666664E-3</v>
      </c>
      <c r="K9" s="387">
        <f>'8  N2'!K8*1%</f>
        <v>1.7581807999999999E-3</v>
      </c>
      <c r="L9" s="387">
        <f>'8  N2'!L8*1%</f>
        <v>2.5304013866666666E-2</v>
      </c>
      <c r="M9" s="387">
        <f>'8  N2'!M8*1%</f>
        <v>2.2597794399999999E-2</v>
      </c>
      <c r="N9" s="387">
        <f>'8  N2'!N8*1%</f>
        <v>1.0514610666666666E-3</v>
      </c>
      <c r="Q9" s="213"/>
      <c r="R9" s="213"/>
      <c r="S9" s="213"/>
      <c r="T9" s="213"/>
      <c r="U9" s="213"/>
      <c r="V9" s="213"/>
      <c r="W9" s="213"/>
      <c r="X9" s="213"/>
    </row>
    <row r="10" spans="3:24" ht="12.75" x14ac:dyDescent="0.2">
      <c r="C10" s="272" t="s">
        <v>75</v>
      </c>
      <c r="D10" s="273">
        <v>1</v>
      </c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Q10" s="213"/>
      <c r="R10" s="213"/>
      <c r="S10" s="213"/>
      <c r="T10" s="213"/>
      <c r="U10" s="213"/>
      <c r="V10" s="213"/>
      <c r="W10" s="213"/>
      <c r="X10" s="213"/>
    </row>
    <row r="11" spans="3:24" ht="12.75" x14ac:dyDescent="0.2">
      <c r="C11" s="272" t="s">
        <v>74</v>
      </c>
      <c r="D11" s="273">
        <v>8</v>
      </c>
      <c r="E11" s="387">
        <f>'8  N2'!E10*1%</f>
        <v>1.505582</v>
      </c>
      <c r="F11" s="387">
        <f>'8  N2'!F10*1%</f>
        <v>4.8641880000000012E-2</v>
      </c>
      <c r="G11" s="387">
        <f>'8  N2'!G10*1%</f>
        <v>0.10649563218390806</v>
      </c>
      <c r="H11" s="387">
        <f>'8  N2'!H10*1%</f>
        <v>0.82366916800000034</v>
      </c>
      <c r="I11" s="387">
        <f>'8  N2'!I10*1%</f>
        <v>0.20105310400000001</v>
      </c>
      <c r="J11" s="387">
        <f>'8  N2'!J10*1%</f>
        <v>3.8604666666666675E-3</v>
      </c>
      <c r="K11" s="387">
        <f>'8  N2'!K10*1%</f>
        <v>8.6474453333333352E-4</v>
      </c>
      <c r="L11" s="387">
        <f>'8  N2'!L10*1%</f>
        <v>1.6337494933333335E-2</v>
      </c>
      <c r="M11" s="387">
        <f>'8  N2'!M10*1%</f>
        <v>1.710958826666667E-2</v>
      </c>
      <c r="N11" s="387">
        <f>'8  N2'!N10*1%</f>
        <v>1.2507912000000001E-3</v>
      </c>
      <c r="Q11" s="213"/>
      <c r="R11" s="213"/>
      <c r="S11" s="213"/>
      <c r="T11" s="213"/>
      <c r="U11" s="213"/>
      <c r="V11" s="213"/>
      <c r="W11" s="213"/>
      <c r="X11" s="213"/>
    </row>
    <row r="12" spans="3:24" ht="12.75" x14ac:dyDescent="0.2">
      <c r="C12" s="272" t="s">
        <v>77</v>
      </c>
      <c r="D12" s="273">
        <v>1</v>
      </c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Q12" s="213"/>
      <c r="R12" s="213"/>
      <c r="S12" s="213"/>
      <c r="T12" s="213"/>
      <c r="U12" s="213"/>
      <c r="V12" s="213"/>
      <c r="W12" s="213"/>
      <c r="X12" s="213"/>
    </row>
    <row r="13" spans="3:24" ht="12.75" x14ac:dyDescent="0.2">
      <c r="C13" s="272" t="s">
        <v>76</v>
      </c>
      <c r="D13" s="273">
        <v>14</v>
      </c>
      <c r="E13" s="387">
        <f>'8  N2'!E12*1%</f>
        <v>1.9661640000000002</v>
      </c>
      <c r="F13" s="387">
        <f>'8  N2'!F12*1%</f>
        <v>4.9154100000000006E-2</v>
      </c>
      <c r="G13" s="387">
        <f>'8  N2'!G12*1%</f>
        <v>0.10881282247765008</v>
      </c>
      <c r="H13" s="387">
        <f>'8  N2'!H12*1%</f>
        <v>1.7607654008000004</v>
      </c>
      <c r="I13" s="387">
        <f>'8  N2'!I12*1%</f>
        <v>0.26241735520000009</v>
      </c>
      <c r="J13" s="387">
        <f>'8  N2'!J12*1%</f>
        <v>5.8984920000000008E-3</v>
      </c>
      <c r="K13" s="387">
        <f>'8  N2'!K12*1%</f>
        <v>1.3763148000000001E-3</v>
      </c>
      <c r="L13" s="387">
        <f>'8  N2'!L12*1%</f>
        <v>6.0623390000000013E-2</v>
      </c>
      <c r="M13" s="387">
        <f>'8  N2'!M12*1%</f>
        <v>1.784839986666667E-2</v>
      </c>
      <c r="N13" s="387">
        <f>'8  N2'!N12*1%</f>
        <v>6.8815740000000014E-3</v>
      </c>
      <c r="Q13" s="213"/>
      <c r="R13" s="213"/>
      <c r="S13" s="213"/>
      <c r="T13" s="213"/>
      <c r="U13" s="213"/>
      <c r="V13" s="213"/>
      <c r="W13" s="213"/>
      <c r="X13" s="213"/>
    </row>
    <row r="14" spans="3:24" ht="12.75" x14ac:dyDescent="0.2">
      <c r="C14" s="272" t="s">
        <v>79</v>
      </c>
      <c r="D14" s="273">
        <v>1</v>
      </c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Q14" s="213"/>
      <c r="R14" s="213"/>
      <c r="S14" s="213"/>
      <c r="T14" s="213"/>
      <c r="U14" s="213"/>
      <c r="V14" s="213"/>
      <c r="W14" s="213"/>
      <c r="X14" s="213"/>
    </row>
    <row r="15" spans="3:24" ht="12.75" x14ac:dyDescent="0.2">
      <c r="C15" s="272" t="s">
        <v>78</v>
      </c>
      <c r="D15" s="273">
        <v>20</v>
      </c>
      <c r="E15" s="387">
        <f>'8  N2'!E14*1%</f>
        <v>2.3234046666666668</v>
      </c>
      <c r="F15" s="387">
        <f>'8  N2'!F14*1%</f>
        <v>8.1048999999999996E-2</v>
      </c>
      <c r="G15" s="387">
        <f>'8  N2'!G14*1%</f>
        <v>0.19045997445721582</v>
      </c>
      <c r="H15" s="387">
        <f>'8  N2'!H14*1%</f>
        <v>2.1867668592</v>
      </c>
      <c r="I15" s="387">
        <f>'8  N2'!I14*1%</f>
        <v>0.21785971199999998</v>
      </c>
      <c r="J15" s="387">
        <f>'8  N2'!J14*1%</f>
        <v>6.0516586666666677E-3</v>
      </c>
      <c r="K15" s="387">
        <f>'8  N2'!K14*1%</f>
        <v>1.0374271999999999E-3</v>
      </c>
      <c r="L15" s="387">
        <f>'8  N2'!L14*1%</f>
        <v>3.2700569866666668E-2</v>
      </c>
      <c r="M15" s="387">
        <f>'8  N2'!M14*1%</f>
        <v>1.0482337333333334E-2</v>
      </c>
      <c r="N15" s="387">
        <f>'8  N2'!N14*1%</f>
        <v>7.5645733333333321E-3</v>
      </c>
      <c r="Q15" s="213"/>
      <c r="R15" s="213"/>
      <c r="S15" s="213"/>
      <c r="T15" s="213"/>
      <c r="U15" s="213"/>
      <c r="V15" s="213"/>
      <c r="W15" s="213"/>
      <c r="X15" s="213"/>
    </row>
    <row r="16" spans="3:24" ht="12.75" x14ac:dyDescent="0.2">
      <c r="C16" s="272" t="s">
        <v>81</v>
      </c>
      <c r="D16" s="273">
        <v>1</v>
      </c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Q16" s="213"/>
      <c r="R16" s="213"/>
      <c r="S16" s="213"/>
      <c r="T16" s="213"/>
      <c r="U16" s="213"/>
      <c r="V16" s="213"/>
      <c r="W16" s="213"/>
      <c r="X16" s="213"/>
    </row>
    <row r="17" spans="3:24" ht="12.75" x14ac:dyDescent="0.2">
      <c r="C17" s="272" t="s">
        <v>80</v>
      </c>
      <c r="D17" s="273">
        <v>26</v>
      </c>
      <c r="E17" s="387">
        <f>'8  N2'!E16*1%</f>
        <v>3.0408386666666671</v>
      </c>
      <c r="F17" s="387">
        <f>'8  N2'!F16*1%</f>
        <v>9.9412033333333344E-2</v>
      </c>
      <c r="G17" s="387">
        <f>'8  N2'!G16*1%</f>
        <v>0.29574911877394638</v>
      </c>
      <c r="H17" s="387">
        <f>'8  N2'!H16*1%</f>
        <v>2.3995725740000005</v>
      </c>
      <c r="I17" s="387">
        <f>'8  N2'!I16*1%</f>
        <v>0.38707537120000007</v>
      </c>
      <c r="J17" s="387">
        <f>'8  N2'!J16*1%</f>
        <v>6.0816773333333338E-3</v>
      </c>
      <c r="K17" s="387">
        <f>'8  N2'!K16*1%</f>
        <v>1.2631176000000002E-3</v>
      </c>
      <c r="L17" s="387">
        <f>'8  N2'!L16*1%</f>
        <v>2.4350100399999998E-2</v>
      </c>
      <c r="M17" s="387">
        <f>'8  N2'!M16*1%</f>
        <v>1.4291941733333336E-2</v>
      </c>
      <c r="N17" s="387">
        <f>'8  N2'!N16*1%</f>
        <v>2.3157155999999998E-2</v>
      </c>
      <c r="Q17" s="213"/>
      <c r="R17" s="213"/>
      <c r="S17" s="213"/>
      <c r="T17" s="213"/>
      <c r="U17" s="213"/>
      <c r="V17" s="213"/>
      <c r="W17" s="213"/>
      <c r="X17" s="213"/>
    </row>
    <row r="18" spans="3:24" ht="12.75" x14ac:dyDescent="0.2">
      <c r="C18" s="272" t="s">
        <v>83</v>
      </c>
      <c r="D18" s="273">
        <v>1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Q18" s="213"/>
      <c r="R18" s="213"/>
      <c r="S18" s="213"/>
      <c r="T18" s="213"/>
      <c r="U18" s="213"/>
      <c r="V18" s="213"/>
      <c r="W18" s="213"/>
      <c r="X18" s="213"/>
    </row>
    <row r="19" spans="3:24" ht="12.75" x14ac:dyDescent="0.2">
      <c r="C19" s="277" t="s">
        <v>82</v>
      </c>
      <c r="D19" s="278">
        <v>200</v>
      </c>
      <c r="E19" s="388">
        <f>'8  N2'!E18*1%</f>
        <v>3.5012479999999999</v>
      </c>
      <c r="F19" s="388">
        <f>'8  N2'!F18*1%</f>
        <v>0.10357858666666665</v>
      </c>
      <c r="G19" s="388">
        <f>'8  N2'!G18*1%</f>
        <v>0.48069496807151985</v>
      </c>
      <c r="H19" s="388">
        <f>'8  N2'!H18*1%</f>
        <v>3.9042416448000008</v>
      </c>
      <c r="I19" s="388">
        <f>'8  N2'!I18*1%</f>
        <v>0.54409393919999993</v>
      </c>
      <c r="J19" s="388">
        <f>'8  N2'!J18*1%</f>
        <v>8.7531199999999997E-3</v>
      </c>
      <c r="K19" s="388">
        <f>'8  N2'!K18*1%</f>
        <v>1.9548634666666669E-3</v>
      </c>
      <c r="L19" s="388">
        <f>'8  N2'!L18*1%</f>
        <v>2.8972827199999999E-2</v>
      </c>
      <c r="M19" s="388">
        <f>'8  N2'!M18*1%</f>
        <v>2.1153373333333336E-2</v>
      </c>
      <c r="N19" s="388">
        <f>'8  N2'!N18*1%</f>
        <v>4.7850389333333335E-3</v>
      </c>
      <c r="Q19" s="213"/>
      <c r="R19" s="213"/>
      <c r="S19" s="213"/>
      <c r="T19" s="213"/>
      <c r="U19" s="213"/>
      <c r="V19" s="213"/>
      <c r="W19" s="213"/>
      <c r="X19" s="213"/>
    </row>
    <row r="20" spans="3:24" ht="12.75" x14ac:dyDescent="0.2">
      <c r="C20" s="212" t="s">
        <v>296</v>
      </c>
      <c r="O20" s="214">
        <f>SUM(E20:N20)</f>
        <v>0</v>
      </c>
      <c r="Q20" s="213"/>
      <c r="R20" s="213"/>
      <c r="S20" s="213"/>
      <c r="T20" s="213"/>
      <c r="U20" s="213"/>
      <c r="V20" s="213"/>
      <c r="W20" s="213"/>
      <c r="X20" s="213"/>
    </row>
    <row r="21" spans="3:24" ht="12.75" x14ac:dyDescent="0.2">
      <c r="O21" s="214"/>
      <c r="Q21" s="213"/>
      <c r="R21" s="213"/>
      <c r="S21" s="213"/>
      <c r="T21" s="213"/>
      <c r="U21" s="213"/>
      <c r="V21" s="213"/>
      <c r="W21" s="213"/>
      <c r="X21" s="213"/>
    </row>
    <row r="22" spans="3:24" ht="15" customHeight="1" x14ac:dyDescent="0.2">
      <c r="C22" s="216" t="s">
        <v>468</v>
      </c>
    </row>
    <row r="23" spans="3:24" ht="15" customHeight="1" x14ac:dyDescent="0.2">
      <c r="C23" s="608" t="s">
        <v>57</v>
      </c>
      <c r="D23" s="611" t="s">
        <v>100</v>
      </c>
      <c r="E23" s="472" t="s">
        <v>1</v>
      </c>
      <c r="F23" s="472" t="s">
        <v>2</v>
      </c>
      <c r="G23" s="472" t="s">
        <v>3</v>
      </c>
      <c r="H23" s="472" t="s">
        <v>4</v>
      </c>
      <c r="I23" s="472" t="s">
        <v>5</v>
      </c>
      <c r="J23" s="472" t="s">
        <v>7</v>
      </c>
      <c r="K23" s="472" t="s">
        <v>8</v>
      </c>
      <c r="L23" s="472" t="s">
        <v>9</v>
      </c>
      <c r="M23" s="472" t="s">
        <v>10</v>
      </c>
      <c r="N23" s="472" t="s">
        <v>11</v>
      </c>
    </row>
    <row r="24" spans="3:24" ht="15" customHeight="1" x14ac:dyDescent="0.2">
      <c r="C24" s="609"/>
      <c r="D24" s="612"/>
      <c r="E24" s="613" t="s">
        <v>24</v>
      </c>
      <c r="F24" s="613"/>
      <c r="G24" s="613"/>
      <c r="H24" s="613"/>
      <c r="I24" s="613"/>
      <c r="J24" s="613"/>
      <c r="K24" s="613"/>
      <c r="L24" s="613"/>
      <c r="M24" s="613"/>
      <c r="N24" s="613"/>
    </row>
    <row r="25" spans="3:24" ht="15" customHeight="1" x14ac:dyDescent="0.2">
      <c r="C25" s="272" t="s">
        <v>71</v>
      </c>
      <c r="D25" s="276">
        <v>1</v>
      </c>
      <c r="E25" s="225"/>
      <c r="F25" s="510"/>
      <c r="G25" s="510"/>
      <c r="H25" s="510"/>
      <c r="I25" s="510"/>
      <c r="J25" s="510"/>
      <c r="K25" s="510"/>
      <c r="L25" s="510"/>
      <c r="M25" s="510"/>
      <c r="N25" s="510"/>
    </row>
    <row r="26" spans="3:24" ht="15" customHeight="1" x14ac:dyDescent="0.2">
      <c r="C26" s="272" t="s">
        <v>70</v>
      </c>
      <c r="D26" s="273">
        <v>1.5</v>
      </c>
      <c r="E26" s="387">
        <f>$D$26*E7</f>
        <v>1.3455900000000001</v>
      </c>
      <c r="F26" s="511">
        <f t="shared" ref="F26:N26" si="0">$D$26*F7</f>
        <v>7.5951080000000004E-2</v>
      </c>
      <c r="G26" s="511">
        <f t="shared" si="0"/>
        <v>8.2488275862068972E-2</v>
      </c>
      <c r="H26" s="511">
        <f t="shared" si="0"/>
        <v>0.86228995439999978</v>
      </c>
      <c r="I26" s="511">
        <f t="shared" si="0"/>
        <v>0.23861796000000002</v>
      </c>
      <c r="J26" s="511">
        <f t="shared" si="0"/>
        <v>3.0500040000000003E-3</v>
      </c>
      <c r="K26" s="511">
        <f t="shared" si="0"/>
        <v>5.5019680000000003E-4</v>
      </c>
      <c r="L26" s="511">
        <f t="shared" si="0"/>
        <v>1.4699823200000003E-2</v>
      </c>
      <c r="M26" s="511">
        <f t="shared" si="0"/>
        <v>1.4927078399999998E-2</v>
      </c>
      <c r="N26" s="511">
        <f t="shared" si="0"/>
        <v>9.4490320000000004E-4</v>
      </c>
    </row>
    <row r="27" spans="3:24" ht="15" customHeight="1" x14ac:dyDescent="0.2">
      <c r="C27" s="272" t="s">
        <v>73</v>
      </c>
      <c r="D27" s="273">
        <v>1</v>
      </c>
      <c r="E27" s="387"/>
      <c r="F27" s="511"/>
      <c r="G27" s="511"/>
      <c r="H27" s="511"/>
      <c r="I27" s="511"/>
      <c r="J27" s="511"/>
      <c r="K27" s="511"/>
      <c r="L27" s="511"/>
      <c r="M27" s="511"/>
      <c r="N27" s="511"/>
    </row>
    <row r="28" spans="3:24" ht="15" customHeight="1" x14ac:dyDescent="0.2">
      <c r="C28" s="272" t="s">
        <v>72</v>
      </c>
      <c r="D28" s="273">
        <v>5</v>
      </c>
      <c r="E28" s="387">
        <f>$D$28*E9</f>
        <v>7.7566799999999994</v>
      </c>
      <c r="F28" s="511">
        <f t="shared" ref="F28:N28" si="1">$D$28*F9</f>
        <v>0.34905059999999999</v>
      </c>
      <c r="G28" s="511">
        <f t="shared" si="1"/>
        <v>0.26416960408684542</v>
      </c>
      <c r="H28" s="511">
        <f t="shared" si="1"/>
        <v>9.3010349880000014</v>
      </c>
      <c r="I28" s="511">
        <f t="shared" si="1"/>
        <v>1.3320805119999999</v>
      </c>
      <c r="J28" s="511">
        <f t="shared" si="1"/>
        <v>2.4131893333333331E-2</v>
      </c>
      <c r="K28" s="511">
        <f t="shared" si="1"/>
        <v>8.7909039999999987E-3</v>
      </c>
      <c r="L28" s="511">
        <f t="shared" si="1"/>
        <v>0.12652006933333332</v>
      </c>
      <c r="M28" s="511">
        <f t="shared" si="1"/>
        <v>0.11298897199999999</v>
      </c>
      <c r="N28" s="511">
        <f t="shared" si="1"/>
        <v>5.2573053333333335E-3</v>
      </c>
    </row>
    <row r="29" spans="3:24" ht="15" customHeight="1" x14ac:dyDescent="0.2">
      <c r="C29" s="272" t="s">
        <v>75</v>
      </c>
      <c r="D29" s="273">
        <v>1</v>
      </c>
      <c r="E29" s="387"/>
      <c r="F29" s="511"/>
      <c r="G29" s="511"/>
      <c r="H29" s="511"/>
      <c r="I29" s="511"/>
      <c r="J29" s="511"/>
      <c r="K29" s="511"/>
      <c r="L29" s="511"/>
      <c r="M29" s="511"/>
      <c r="N29" s="511"/>
    </row>
    <row r="30" spans="3:24" ht="15" customHeight="1" x14ac:dyDescent="0.2">
      <c r="C30" s="272" t="s">
        <v>74</v>
      </c>
      <c r="D30" s="273">
        <v>8</v>
      </c>
      <c r="E30" s="387">
        <f>$D$30*E11</f>
        <v>12.044656</v>
      </c>
      <c r="F30" s="511">
        <f t="shared" ref="F30:M30" si="2">$D$30*F11</f>
        <v>0.3891350400000001</v>
      </c>
      <c r="G30" s="511">
        <f t="shared" si="2"/>
        <v>0.8519650574712645</v>
      </c>
      <c r="H30" s="511">
        <f t="shared" si="2"/>
        <v>6.5893533440000027</v>
      </c>
      <c r="I30" s="511">
        <f t="shared" si="2"/>
        <v>1.6084248320000001</v>
      </c>
      <c r="J30" s="511">
        <f t="shared" si="2"/>
        <v>3.088373333333334E-2</v>
      </c>
      <c r="K30" s="511">
        <f t="shared" si="2"/>
        <v>6.9179562666666682E-3</v>
      </c>
      <c r="L30" s="511">
        <f t="shared" si="2"/>
        <v>0.13069995946666668</v>
      </c>
      <c r="M30" s="511">
        <f t="shared" si="2"/>
        <v>0.13687670613333336</v>
      </c>
      <c r="N30" s="511">
        <f>$D$30*N11</f>
        <v>1.0006329600000001E-2</v>
      </c>
    </row>
    <row r="31" spans="3:24" ht="15" customHeight="1" x14ac:dyDescent="0.2">
      <c r="C31" s="272" t="s">
        <v>77</v>
      </c>
      <c r="D31" s="273">
        <v>1</v>
      </c>
      <c r="E31" s="387"/>
      <c r="F31" s="511"/>
      <c r="G31" s="511"/>
      <c r="H31" s="511"/>
      <c r="I31" s="511"/>
      <c r="J31" s="511"/>
      <c r="K31" s="511"/>
      <c r="L31" s="511"/>
      <c r="M31" s="511"/>
      <c r="N31" s="511"/>
    </row>
    <row r="32" spans="3:24" ht="15" customHeight="1" x14ac:dyDescent="0.2">
      <c r="C32" s="272" t="s">
        <v>76</v>
      </c>
      <c r="D32" s="273">
        <v>14</v>
      </c>
      <c r="E32" s="387">
        <f t="shared" ref="E32:N32" si="3">$D$32*E13</f>
        <v>27.526296000000002</v>
      </c>
      <c r="F32" s="511">
        <f t="shared" si="3"/>
        <v>0.68815740000000014</v>
      </c>
      <c r="G32" s="511">
        <f t="shared" si="3"/>
        <v>1.523379514687101</v>
      </c>
      <c r="H32" s="511">
        <f t="shared" si="3"/>
        <v>24.650715611200006</v>
      </c>
      <c r="I32" s="511">
        <f t="shared" si="3"/>
        <v>3.673842972800001</v>
      </c>
      <c r="J32" s="511">
        <f t="shared" si="3"/>
        <v>8.2578888000000017E-2</v>
      </c>
      <c r="K32" s="511">
        <f t="shared" si="3"/>
        <v>1.92684072E-2</v>
      </c>
      <c r="L32" s="511">
        <f t="shared" si="3"/>
        <v>0.84872746000000021</v>
      </c>
      <c r="M32" s="511">
        <f t="shared" si="3"/>
        <v>0.24987759813333338</v>
      </c>
      <c r="N32" s="511">
        <f t="shared" si="3"/>
        <v>9.634203600000002E-2</v>
      </c>
    </row>
    <row r="33" spans="3:14" ht="15" customHeight="1" x14ac:dyDescent="0.2">
      <c r="C33" s="272" t="s">
        <v>79</v>
      </c>
      <c r="D33" s="273">
        <v>1</v>
      </c>
      <c r="E33" s="387"/>
      <c r="F33" s="511"/>
      <c r="G33" s="511"/>
      <c r="H33" s="511"/>
      <c r="I33" s="511"/>
      <c r="J33" s="511"/>
      <c r="K33" s="511"/>
      <c r="L33" s="511"/>
      <c r="M33" s="511"/>
      <c r="N33" s="511"/>
    </row>
    <row r="34" spans="3:14" ht="15" customHeight="1" x14ac:dyDescent="0.2">
      <c r="C34" s="272" t="s">
        <v>78</v>
      </c>
      <c r="D34" s="273">
        <v>20</v>
      </c>
      <c r="E34" s="387">
        <f>$D$34*E15</f>
        <v>46.468093333333336</v>
      </c>
      <c r="F34" s="511">
        <f t="shared" ref="F34:N34" si="4">$D$34*F15</f>
        <v>1.6209799999999999</v>
      </c>
      <c r="G34" s="511">
        <f t="shared" si="4"/>
        <v>3.8091994891443166</v>
      </c>
      <c r="H34" s="511">
        <f t="shared" si="4"/>
        <v>43.735337184000002</v>
      </c>
      <c r="I34" s="511">
        <f t="shared" si="4"/>
        <v>4.3571942400000001</v>
      </c>
      <c r="J34" s="511">
        <f t="shared" si="4"/>
        <v>0.12103317333333335</v>
      </c>
      <c r="K34" s="511">
        <f t="shared" si="4"/>
        <v>2.0748543999999997E-2</v>
      </c>
      <c r="L34" s="511">
        <f t="shared" si="4"/>
        <v>0.65401139733333336</v>
      </c>
      <c r="M34" s="511">
        <f t="shared" si="4"/>
        <v>0.20964674666666669</v>
      </c>
      <c r="N34" s="511">
        <f t="shared" si="4"/>
        <v>0.15129146666666665</v>
      </c>
    </row>
    <row r="35" spans="3:14" ht="15" customHeight="1" x14ac:dyDescent="0.2">
      <c r="C35" s="272" t="s">
        <v>81</v>
      </c>
      <c r="D35" s="273">
        <v>1</v>
      </c>
      <c r="E35" s="387"/>
      <c r="F35" s="511"/>
      <c r="G35" s="511"/>
      <c r="H35" s="511"/>
      <c r="I35" s="511"/>
      <c r="J35" s="511"/>
      <c r="K35" s="511"/>
      <c r="L35" s="511"/>
      <c r="M35" s="511"/>
      <c r="N35" s="511"/>
    </row>
    <row r="36" spans="3:14" ht="15" customHeight="1" x14ac:dyDescent="0.2">
      <c r="C36" s="272" t="s">
        <v>80</v>
      </c>
      <c r="D36" s="273">
        <v>26</v>
      </c>
      <c r="E36" s="387">
        <f>$D$36*E17</f>
        <v>79.061805333333339</v>
      </c>
      <c r="F36" s="511">
        <f>$D$36*F17</f>
        <v>2.584712866666667</v>
      </c>
      <c r="G36" s="511">
        <f t="shared" ref="G36:N36" si="5">$D$36*G17</f>
        <v>7.6894770881226062</v>
      </c>
      <c r="H36" s="511">
        <f t="shared" si="5"/>
        <v>62.388886924000012</v>
      </c>
      <c r="I36" s="511">
        <f t="shared" si="5"/>
        <v>10.063959651200001</v>
      </c>
      <c r="J36" s="511">
        <f t="shared" si="5"/>
        <v>0.15812361066666669</v>
      </c>
      <c r="K36" s="511">
        <f t="shared" si="5"/>
        <v>3.2841057600000008E-2</v>
      </c>
      <c r="L36" s="511">
        <f t="shared" si="5"/>
        <v>0.63310261039999993</v>
      </c>
      <c r="M36" s="511">
        <f t="shared" si="5"/>
        <v>0.37159048506666675</v>
      </c>
      <c r="N36" s="511">
        <f t="shared" si="5"/>
        <v>0.60208605599999998</v>
      </c>
    </row>
    <row r="37" spans="3:14" ht="15" customHeight="1" x14ac:dyDescent="0.2">
      <c r="C37" s="272" t="s">
        <v>83</v>
      </c>
      <c r="D37" s="273">
        <v>1</v>
      </c>
      <c r="E37" s="387"/>
      <c r="F37" s="511"/>
      <c r="G37" s="511"/>
      <c r="H37" s="511"/>
      <c r="I37" s="511"/>
      <c r="J37" s="511"/>
      <c r="K37" s="511"/>
      <c r="L37" s="511"/>
      <c r="M37" s="511"/>
      <c r="N37" s="511"/>
    </row>
    <row r="38" spans="3:14" ht="15" customHeight="1" x14ac:dyDescent="0.2">
      <c r="C38" s="277" t="s">
        <v>82</v>
      </c>
      <c r="D38" s="278">
        <v>200</v>
      </c>
      <c r="E38" s="388">
        <f>$D$38*E19</f>
        <v>700.24959999999999</v>
      </c>
      <c r="F38" s="512">
        <f t="shared" ref="F38:N38" si="6">$D$38*F19</f>
        <v>20.71571733333333</v>
      </c>
      <c r="G38" s="512">
        <f t="shared" si="6"/>
        <v>96.138993614303971</v>
      </c>
      <c r="H38" s="512">
        <f t="shared" si="6"/>
        <v>780.84832896000012</v>
      </c>
      <c r="I38" s="512">
        <f t="shared" si="6"/>
        <v>108.81878783999998</v>
      </c>
      <c r="J38" s="512">
        <f t="shared" si="6"/>
        <v>1.750624</v>
      </c>
      <c r="K38" s="512">
        <f t="shared" si="6"/>
        <v>0.3909726933333334</v>
      </c>
      <c r="L38" s="512">
        <f t="shared" si="6"/>
        <v>5.7945654399999995</v>
      </c>
      <c r="M38" s="512">
        <f t="shared" si="6"/>
        <v>4.2306746666666672</v>
      </c>
      <c r="N38" s="512">
        <f t="shared" si="6"/>
        <v>0.95700778666666675</v>
      </c>
    </row>
  </sheetData>
  <mergeCells count="6">
    <mergeCell ref="C4:C5"/>
    <mergeCell ref="E5:N5"/>
    <mergeCell ref="D4:D5"/>
    <mergeCell ref="C23:C24"/>
    <mergeCell ref="D23:D24"/>
    <mergeCell ref="E24:N2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W197"/>
  <sheetViews>
    <sheetView showGridLines="0" zoomScale="120" zoomScaleNormal="120" workbookViewId="0">
      <selection activeCell="H11" sqref="H11"/>
    </sheetView>
  </sheetViews>
  <sheetFormatPr defaultRowHeight="12.75" x14ac:dyDescent="0.25"/>
  <cols>
    <col min="1" max="1" width="9.140625" style="30"/>
    <col min="2" max="2" width="9.5703125" style="30" customWidth="1"/>
    <col min="3" max="3" width="41" style="124" bestFit="1" customWidth="1"/>
    <col min="4" max="4" width="13.42578125" style="138" bestFit="1" customWidth="1"/>
    <col min="5" max="5" width="14" style="101" bestFit="1" customWidth="1"/>
    <col min="6" max="6" width="14" style="141" bestFit="1" customWidth="1"/>
    <col min="7" max="7" width="11.28515625" style="101" bestFit="1" customWidth="1"/>
    <col min="8" max="8" width="12" style="101" customWidth="1"/>
    <col min="9" max="9" width="4.140625" style="141" bestFit="1" customWidth="1"/>
    <col min="10" max="10" width="11" style="101" bestFit="1" customWidth="1"/>
    <col min="11" max="11" width="13.7109375" style="101" bestFit="1" customWidth="1"/>
    <col min="12" max="12" width="4.140625" style="141" bestFit="1" customWidth="1"/>
    <col min="13" max="13" width="11.5703125" style="101" bestFit="1" customWidth="1"/>
    <col min="14" max="14" width="7.140625" style="101" bestFit="1" customWidth="1"/>
    <col min="15" max="15" width="4.42578125" style="141" bestFit="1" customWidth="1"/>
    <col min="16" max="16" width="11.5703125" style="101" bestFit="1" customWidth="1"/>
    <col min="17" max="18" width="11" style="101" bestFit="1" customWidth="1"/>
    <col min="19" max="19" width="5.7109375" style="101" bestFit="1" customWidth="1"/>
    <col min="20" max="20" width="5.85546875" style="30" bestFit="1" customWidth="1"/>
    <col min="21" max="21" width="6.85546875" style="30" bestFit="1" customWidth="1"/>
    <col min="22" max="22" width="5.85546875" style="30" bestFit="1" customWidth="1"/>
    <col min="23" max="23" width="6.85546875" style="30" bestFit="1" customWidth="1"/>
    <col min="24" max="24" width="5.85546875" style="30" bestFit="1" customWidth="1"/>
    <col min="25" max="25" width="6.85546875" style="30" bestFit="1" customWidth="1"/>
    <col min="26" max="26" width="4.7109375" style="30" bestFit="1" customWidth="1"/>
    <col min="27" max="27" width="3.42578125" style="30" bestFit="1" customWidth="1"/>
    <col min="28" max="16384" width="9.140625" style="30"/>
  </cols>
  <sheetData>
    <row r="2" spans="2:13" x14ac:dyDescent="0.25">
      <c r="B2" s="30" t="s">
        <v>469</v>
      </c>
    </row>
    <row r="3" spans="2:13" x14ac:dyDescent="0.25">
      <c r="B3" s="32" t="s">
        <v>18</v>
      </c>
      <c r="C3" s="32" t="s">
        <v>242</v>
      </c>
      <c r="D3" s="57" t="s">
        <v>16</v>
      </c>
      <c r="E3" s="622" t="s">
        <v>15</v>
      </c>
      <c r="F3" s="622"/>
    </row>
    <row r="4" spans="2:13" x14ac:dyDescent="0.25">
      <c r="B4" s="39">
        <v>1</v>
      </c>
      <c r="C4" s="143" t="s">
        <v>154</v>
      </c>
      <c r="D4" s="98" t="s">
        <v>153</v>
      </c>
      <c r="E4" s="623">
        <v>80</v>
      </c>
      <c r="F4" s="623"/>
      <c r="G4" s="30"/>
      <c r="H4" s="30"/>
      <c r="I4" s="30"/>
      <c r="J4" s="30"/>
      <c r="K4" s="30"/>
      <c r="L4" s="30"/>
      <c r="M4" s="30"/>
    </row>
    <row r="5" spans="2:13" x14ac:dyDescent="0.25">
      <c r="B5" s="39">
        <v>2</v>
      </c>
      <c r="C5" s="143" t="s">
        <v>183</v>
      </c>
      <c r="D5" s="119" t="s">
        <v>172</v>
      </c>
      <c r="E5" s="624">
        <v>0.27500000000000002</v>
      </c>
      <c r="F5" s="624"/>
      <c r="G5" s="30"/>
      <c r="H5" s="30"/>
      <c r="I5" s="30"/>
      <c r="J5" s="30"/>
      <c r="K5" s="30"/>
      <c r="L5" s="30"/>
      <c r="M5" s="30"/>
    </row>
    <row r="6" spans="2:13" x14ac:dyDescent="0.25">
      <c r="B6" s="39">
        <v>3</v>
      </c>
      <c r="C6" s="143" t="s">
        <v>184</v>
      </c>
      <c r="D6" s="119" t="s">
        <v>185</v>
      </c>
      <c r="E6" s="625">
        <f>E4*E5</f>
        <v>22</v>
      </c>
      <c r="F6" s="625"/>
      <c r="G6" s="30"/>
      <c r="H6" s="30"/>
      <c r="I6" s="30"/>
      <c r="J6" s="30"/>
      <c r="K6" s="30"/>
      <c r="L6" s="30"/>
      <c r="M6" s="30"/>
    </row>
    <row r="7" spans="2:13" x14ac:dyDescent="0.25">
      <c r="B7" s="39">
        <v>4</v>
      </c>
      <c r="C7" s="143" t="s">
        <v>163</v>
      </c>
      <c r="D7" s="119" t="s">
        <v>421</v>
      </c>
      <c r="E7" s="626">
        <f>105000/'EmUSD - EmR$'!C7</f>
        <v>27649.769585253456</v>
      </c>
      <c r="F7" s="626"/>
      <c r="G7" s="30"/>
      <c r="H7" s="30"/>
      <c r="I7" s="30"/>
      <c r="J7" s="30"/>
      <c r="K7" s="30"/>
      <c r="L7" s="30"/>
      <c r="M7" s="30"/>
    </row>
    <row r="8" spans="2:13" x14ac:dyDescent="0.25">
      <c r="B8" s="39">
        <v>5</v>
      </c>
      <c r="C8" s="143" t="s">
        <v>170</v>
      </c>
      <c r="D8" s="119" t="s">
        <v>421</v>
      </c>
      <c r="E8" s="626">
        <f>105000/'EmUSD - EmR$'!C7</f>
        <v>27649.769585253456</v>
      </c>
      <c r="F8" s="626"/>
      <c r="G8" s="30"/>
      <c r="H8" s="30"/>
      <c r="I8" s="30"/>
      <c r="J8" s="30"/>
      <c r="K8" s="30"/>
      <c r="L8" s="30"/>
      <c r="M8" s="30"/>
    </row>
    <row r="9" spans="2:13" x14ac:dyDescent="0.25">
      <c r="B9" s="39">
        <v>6</v>
      </c>
      <c r="C9" s="143" t="s">
        <v>164</v>
      </c>
      <c r="D9" s="119" t="s">
        <v>166</v>
      </c>
      <c r="E9" s="624">
        <v>10000</v>
      </c>
      <c r="F9" s="624"/>
      <c r="G9" s="30"/>
      <c r="H9" s="30"/>
      <c r="I9" s="30"/>
      <c r="J9" s="30"/>
      <c r="K9" s="30"/>
      <c r="L9" s="30"/>
      <c r="M9" s="30"/>
    </row>
    <row r="10" spans="2:13" x14ac:dyDescent="0.25">
      <c r="B10" s="39">
        <v>7</v>
      </c>
      <c r="C10" s="143" t="s">
        <v>165</v>
      </c>
      <c r="D10" s="119" t="s">
        <v>422</v>
      </c>
      <c r="E10" s="498"/>
      <c r="F10" s="497">
        <f>(E7+E8)/E9</f>
        <v>5.5299539170506913</v>
      </c>
      <c r="G10" s="30"/>
      <c r="H10" s="30"/>
      <c r="I10" s="30"/>
      <c r="J10" s="30"/>
      <c r="K10" s="30"/>
      <c r="L10" s="30"/>
      <c r="M10" s="30"/>
    </row>
    <row r="11" spans="2:13" x14ac:dyDescent="0.25">
      <c r="B11" s="39">
        <v>8</v>
      </c>
      <c r="C11" s="143" t="s">
        <v>167</v>
      </c>
      <c r="D11" s="119" t="s">
        <v>421</v>
      </c>
      <c r="E11" s="626">
        <f>60000/'EmUSD - EmR$'!C7</f>
        <v>15799.868334430546</v>
      </c>
      <c r="F11" s="626"/>
      <c r="G11" s="30"/>
      <c r="H11" s="30"/>
      <c r="I11" s="30"/>
      <c r="J11" s="30"/>
      <c r="K11" s="30"/>
      <c r="L11" s="30"/>
      <c r="M11" s="30"/>
    </row>
    <row r="12" spans="2:13" x14ac:dyDescent="0.25">
      <c r="B12" s="39">
        <v>9</v>
      </c>
      <c r="C12" s="143" t="s">
        <v>171</v>
      </c>
      <c r="D12" s="119" t="s">
        <v>421</v>
      </c>
      <c r="E12" s="626">
        <f>60000/'EmUSD - EmR$'!C7</f>
        <v>15799.868334430546</v>
      </c>
      <c r="F12" s="626"/>
      <c r="G12" s="30"/>
      <c r="H12" s="30"/>
      <c r="I12" s="30"/>
      <c r="J12" s="30"/>
      <c r="K12" s="30"/>
      <c r="L12" s="30"/>
      <c r="M12" s="30"/>
    </row>
    <row r="13" spans="2:13" x14ac:dyDescent="0.25">
      <c r="B13" s="39">
        <v>10</v>
      </c>
      <c r="C13" s="143" t="s">
        <v>168</v>
      </c>
      <c r="D13" s="119" t="s">
        <v>156</v>
      </c>
      <c r="E13" s="626">
        <v>200000</v>
      </c>
      <c r="F13" s="626"/>
      <c r="G13" s="30"/>
      <c r="H13" s="30"/>
      <c r="I13" s="30"/>
      <c r="J13" s="30"/>
      <c r="K13" s="30"/>
      <c r="L13" s="30"/>
      <c r="M13" s="30"/>
    </row>
    <row r="14" spans="2:13" x14ac:dyDescent="0.25">
      <c r="B14" s="39">
        <v>11</v>
      </c>
      <c r="C14" s="143" t="s">
        <v>169</v>
      </c>
      <c r="D14" s="119" t="s">
        <v>423</v>
      </c>
      <c r="E14" s="625">
        <f>(SUM(E11:F12))/E13</f>
        <v>0.15799868334430547</v>
      </c>
      <c r="F14" s="625"/>
      <c r="G14" s="30"/>
      <c r="H14" s="30"/>
      <c r="I14" s="30"/>
      <c r="J14" s="30"/>
      <c r="K14" s="30"/>
      <c r="L14" s="30"/>
      <c r="M14" s="30"/>
    </row>
    <row r="15" spans="2:13" x14ac:dyDescent="0.25">
      <c r="B15" s="39">
        <v>12</v>
      </c>
      <c r="C15" s="143" t="s">
        <v>181</v>
      </c>
      <c r="D15" s="119" t="s">
        <v>182</v>
      </c>
      <c r="E15" s="626">
        <v>8</v>
      </c>
      <c r="F15" s="626"/>
      <c r="G15" s="30"/>
      <c r="H15" s="30"/>
      <c r="I15" s="30"/>
      <c r="J15" s="30"/>
      <c r="K15" s="30"/>
      <c r="L15" s="30"/>
      <c r="M15" s="30"/>
    </row>
    <row r="16" spans="2:13" x14ac:dyDescent="0.25">
      <c r="B16" s="39">
        <v>13</v>
      </c>
      <c r="C16" s="143" t="s">
        <v>161</v>
      </c>
      <c r="D16" s="119" t="s">
        <v>173</v>
      </c>
      <c r="E16" s="627">
        <v>1667</v>
      </c>
      <c r="F16" s="627"/>
      <c r="G16" s="30"/>
      <c r="H16" s="30"/>
      <c r="I16" s="30"/>
      <c r="J16" s="30"/>
      <c r="K16" s="30"/>
      <c r="L16" s="30"/>
      <c r="M16" s="30"/>
    </row>
    <row r="17" spans="2:18" x14ac:dyDescent="0.25">
      <c r="B17" s="39">
        <v>14</v>
      </c>
      <c r="C17" s="143" t="s">
        <v>162</v>
      </c>
      <c r="D17" s="119" t="s">
        <v>173</v>
      </c>
      <c r="E17" s="625">
        <f>E16*10%</f>
        <v>166.70000000000002</v>
      </c>
      <c r="F17" s="625"/>
      <c r="G17" s="30"/>
      <c r="H17" s="30"/>
      <c r="I17" s="30"/>
      <c r="J17" s="30"/>
      <c r="K17" s="30"/>
      <c r="L17" s="30"/>
      <c r="M17" s="30"/>
    </row>
    <row r="18" spans="2:18" x14ac:dyDescent="0.25">
      <c r="B18" s="39">
        <v>15</v>
      </c>
      <c r="C18" s="143" t="s">
        <v>174</v>
      </c>
      <c r="D18" s="119" t="s">
        <v>424</v>
      </c>
      <c r="E18" s="626">
        <f>1.5/'EmUSD - EmR$'!C7</f>
        <v>0.39499670836076367</v>
      </c>
      <c r="F18" s="626"/>
      <c r="G18" s="30"/>
      <c r="H18" s="30"/>
      <c r="I18" s="30"/>
      <c r="J18" s="30"/>
      <c r="K18" s="30"/>
      <c r="L18" s="30"/>
      <c r="M18" s="30"/>
    </row>
    <row r="19" spans="2:18" x14ac:dyDescent="0.25">
      <c r="B19" s="39">
        <v>16</v>
      </c>
      <c r="C19" s="144" t="s">
        <v>175</v>
      </c>
      <c r="D19" s="119" t="s">
        <v>156</v>
      </c>
      <c r="E19" s="620">
        <v>40</v>
      </c>
      <c r="F19" s="620"/>
      <c r="G19" s="30"/>
      <c r="H19" s="30"/>
      <c r="I19" s="30"/>
      <c r="J19" s="30"/>
      <c r="K19" s="30"/>
      <c r="L19" s="30"/>
      <c r="M19" s="30"/>
    </row>
    <row r="20" spans="2:18" x14ac:dyDescent="0.25">
      <c r="B20" s="39">
        <v>17</v>
      </c>
      <c r="C20" s="144" t="s">
        <v>176</v>
      </c>
      <c r="D20" s="119" t="s">
        <v>156</v>
      </c>
      <c r="E20" s="620">
        <v>40</v>
      </c>
      <c r="F20" s="620"/>
      <c r="G20" s="30"/>
      <c r="H20" s="30"/>
      <c r="I20" s="30"/>
      <c r="J20" s="30"/>
      <c r="K20" s="30"/>
      <c r="L20" s="30"/>
      <c r="M20" s="30"/>
    </row>
    <row r="21" spans="2:18" x14ac:dyDescent="0.25">
      <c r="B21" s="39">
        <v>18</v>
      </c>
      <c r="C21" s="144" t="s">
        <v>177</v>
      </c>
      <c r="D21" s="119" t="s">
        <v>156</v>
      </c>
      <c r="E21" s="620">
        <v>30</v>
      </c>
      <c r="F21" s="620"/>
      <c r="G21" s="30"/>
      <c r="H21" s="30"/>
      <c r="I21" s="30"/>
      <c r="J21" s="30"/>
      <c r="K21" s="30"/>
      <c r="L21" s="30"/>
      <c r="M21" s="30"/>
    </row>
    <row r="22" spans="2:18" x14ac:dyDescent="0.25">
      <c r="B22" s="39">
        <v>19</v>
      </c>
      <c r="C22" s="144" t="s">
        <v>178</v>
      </c>
      <c r="D22" s="119" t="s">
        <v>156</v>
      </c>
      <c r="E22" s="620">
        <v>20</v>
      </c>
      <c r="F22" s="620"/>
      <c r="G22" s="30"/>
      <c r="H22" s="30"/>
      <c r="I22" s="30"/>
      <c r="J22" s="30"/>
      <c r="K22" s="30"/>
      <c r="L22" s="30"/>
      <c r="M22" s="30"/>
      <c r="N22" s="95"/>
      <c r="O22" s="142"/>
      <c r="P22" s="95"/>
      <c r="Q22" s="95"/>
      <c r="R22" s="95"/>
    </row>
    <row r="23" spans="2:18" x14ac:dyDescent="0.25">
      <c r="B23" s="39">
        <v>20</v>
      </c>
      <c r="C23" s="144" t="s">
        <v>179</v>
      </c>
      <c r="D23" s="119" t="s">
        <v>156</v>
      </c>
      <c r="E23" s="620">
        <v>16</v>
      </c>
      <c r="F23" s="620"/>
      <c r="G23" s="30"/>
      <c r="H23" s="30"/>
      <c r="I23" s="30"/>
      <c r="J23" s="30"/>
      <c r="K23" s="30"/>
      <c r="L23" s="30"/>
      <c r="M23" s="30"/>
      <c r="N23" s="95"/>
      <c r="O23" s="142"/>
      <c r="P23" s="95"/>
      <c r="Q23" s="95"/>
      <c r="R23" s="95"/>
    </row>
    <row r="24" spans="2:18" x14ac:dyDescent="0.25">
      <c r="B24" s="168">
        <v>21</v>
      </c>
      <c r="C24" s="144" t="s">
        <v>180</v>
      </c>
      <c r="D24" s="119" t="s">
        <v>156</v>
      </c>
      <c r="E24" s="620">
        <v>52</v>
      </c>
      <c r="F24" s="620"/>
      <c r="G24" s="30"/>
      <c r="H24" s="30"/>
      <c r="I24" s="30"/>
      <c r="J24" s="30"/>
      <c r="K24" s="30"/>
      <c r="L24" s="30"/>
      <c r="M24" s="30"/>
      <c r="N24" s="95"/>
      <c r="O24" s="142"/>
      <c r="P24" s="95"/>
      <c r="Q24" s="95"/>
      <c r="R24" s="95"/>
    </row>
    <row r="25" spans="2:18" x14ac:dyDescent="0.25">
      <c r="B25" s="168">
        <v>22</v>
      </c>
      <c r="C25" s="144" t="s">
        <v>309</v>
      </c>
      <c r="D25" s="119" t="s">
        <v>21</v>
      </c>
      <c r="E25" s="474"/>
      <c r="F25" s="474">
        <v>400</v>
      </c>
      <c r="G25" s="30"/>
      <c r="H25" s="30"/>
      <c r="I25" s="30"/>
      <c r="J25" s="30"/>
      <c r="K25" s="30"/>
      <c r="L25" s="30"/>
      <c r="M25" s="30"/>
      <c r="N25" s="95"/>
      <c r="O25" s="142"/>
      <c r="P25" s="95"/>
      <c r="Q25" s="95"/>
      <c r="R25" s="95"/>
    </row>
    <row r="26" spans="2:18" x14ac:dyDescent="0.25">
      <c r="B26" s="168">
        <v>23</v>
      </c>
      <c r="C26" s="144" t="s">
        <v>310</v>
      </c>
      <c r="D26" s="119" t="s">
        <v>21</v>
      </c>
      <c r="E26" s="474"/>
      <c r="F26" s="474">
        <v>40</v>
      </c>
      <c r="G26" s="30"/>
      <c r="H26" s="30"/>
      <c r="I26" s="30"/>
      <c r="J26" s="30"/>
      <c r="K26" s="30"/>
      <c r="L26" s="30"/>
      <c r="M26" s="30"/>
      <c r="N26" s="95"/>
      <c r="O26" s="142"/>
      <c r="P26" s="95"/>
      <c r="Q26" s="95"/>
      <c r="R26" s="95"/>
    </row>
    <row r="27" spans="2:18" ht="15" customHeight="1" x14ac:dyDescent="0.25">
      <c r="B27" s="168">
        <v>24</v>
      </c>
      <c r="C27" s="144" t="s">
        <v>311</v>
      </c>
      <c r="D27" s="119" t="s">
        <v>21</v>
      </c>
      <c r="E27" s="496"/>
      <c r="F27" s="496">
        <v>4</v>
      </c>
      <c r="G27" s="30"/>
      <c r="H27" s="30"/>
      <c r="I27" s="30"/>
      <c r="J27" s="30"/>
      <c r="K27" s="30"/>
      <c r="L27" s="30"/>
      <c r="M27" s="30"/>
      <c r="N27" s="95"/>
      <c r="O27" s="142"/>
      <c r="P27" s="95"/>
      <c r="Q27" s="95"/>
      <c r="R27" s="95"/>
    </row>
    <row r="28" spans="2:18" ht="15" customHeight="1" x14ac:dyDescent="0.25">
      <c r="B28" s="168">
        <v>25</v>
      </c>
      <c r="C28" s="144" t="s">
        <v>416</v>
      </c>
      <c r="D28" s="119" t="s">
        <v>425</v>
      </c>
      <c r="E28" s="496"/>
      <c r="F28" s="496">
        <f>12/'EmUSD - EmR$'!C7</f>
        <v>3.1599736668861094</v>
      </c>
      <c r="G28" s="30"/>
      <c r="H28" s="30"/>
      <c r="I28" s="30"/>
      <c r="J28" s="30"/>
      <c r="K28" s="30"/>
      <c r="L28" s="30"/>
      <c r="M28" s="30"/>
      <c r="N28" s="95"/>
      <c r="O28" s="142"/>
      <c r="P28" s="95"/>
      <c r="Q28" s="95"/>
      <c r="R28" s="95"/>
    </row>
    <row r="29" spans="2:18" ht="15" customHeight="1" x14ac:dyDescent="0.25">
      <c r="B29" s="163">
        <v>26</v>
      </c>
      <c r="C29" s="35" t="s">
        <v>427</v>
      </c>
      <c r="D29" s="120" t="s">
        <v>417</v>
      </c>
      <c r="E29" s="499"/>
      <c r="F29" s="500">
        <v>100</v>
      </c>
      <c r="G29" s="30"/>
      <c r="H29" s="30"/>
      <c r="I29" s="30"/>
      <c r="J29" s="30"/>
      <c r="K29" s="30"/>
      <c r="L29" s="30"/>
      <c r="M29" s="30"/>
      <c r="N29" s="95"/>
      <c r="O29" s="142"/>
      <c r="P29" s="95"/>
      <c r="Q29" s="95"/>
      <c r="R29" s="95"/>
    </row>
    <row r="30" spans="2:18" x14ac:dyDescent="0.25">
      <c r="B30" s="30" t="s">
        <v>195</v>
      </c>
      <c r="C30" s="30"/>
      <c r="D30" s="30"/>
      <c r="E30" s="30"/>
      <c r="F30" s="30"/>
      <c r="G30" s="30"/>
      <c r="H30" s="30"/>
      <c r="I30" s="101"/>
      <c r="J30" s="141"/>
      <c r="K30" s="151"/>
      <c r="L30" s="151"/>
      <c r="M30" s="151"/>
      <c r="N30" s="95"/>
      <c r="O30" s="142"/>
      <c r="P30" s="95"/>
      <c r="Q30" s="95"/>
      <c r="R30" s="95"/>
    </row>
    <row r="31" spans="2:18" x14ac:dyDescent="0.25">
      <c r="B31" s="30" t="s">
        <v>191</v>
      </c>
      <c r="C31" s="30"/>
      <c r="D31" s="30"/>
      <c r="E31" s="30"/>
      <c r="F31" s="30"/>
      <c r="G31" s="30"/>
      <c r="H31" s="30"/>
      <c r="I31" s="101"/>
      <c r="J31" s="141"/>
      <c r="K31" s="244"/>
      <c r="L31" s="244"/>
      <c r="M31" s="244"/>
      <c r="N31" s="95"/>
      <c r="O31" s="142"/>
      <c r="P31" s="95"/>
      <c r="Q31" s="95"/>
      <c r="R31" s="95"/>
    </row>
    <row r="32" spans="2:18" x14ac:dyDescent="0.25">
      <c r="B32" s="30" t="s">
        <v>190</v>
      </c>
      <c r="C32" s="30"/>
      <c r="D32" s="30"/>
      <c r="E32" s="30"/>
      <c r="F32" s="30"/>
      <c r="G32" s="30"/>
      <c r="H32" s="30"/>
      <c r="I32" s="101"/>
      <c r="J32" s="141"/>
      <c r="K32" s="244"/>
      <c r="L32" s="244"/>
      <c r="M32" s="244"/>
      <c r="N32" s="95"/>
      <c r="O32" s="142"/>
      <c r="P32" s="95"/>
      <c r="Q32" s="95"/>
      <c r="R32" s="95"/>
    </row>
    <row r="33" spans="2:23" x14ac:dyDescent="0.25">
      <c r="B33" s="30" t="s">
        <v>192</v>
      </c>
      <c r="C33" s="30"/>
      <c r="D33" s="30"/>
      <c r="E33" s="30"/>
      <c r="F33" s="30"/>
      <c r="G33" s="30"/>
      <c r="H33" s="30"/>
      <c r="I33" s="30"/>
      <c r="J33" s="30"/>
      <c r="K33" s="244"/>
      <c r="L33" s="244"/>
      <c r="M33" s="244"/>
      <c r="N33" s="95"/>
      <c r="O33" s="142"/>
      <c r="P33" s="95"/>
      <c r="Q33" s="95"/>
      <c r="R33" s="95"/>
    </row>
    <row r="34" spans="2:23" x14ac:dyDescent="0.25">
      <c r="B34" s="30" t="s">
        <v>193</v>
      </c>
      <c r="C34" s="30"/>
      <c r="D34" s="30"/>
      <c r="E34" s="30"/>
      <c r="F34" s="30"/>
      <c r="G34" s="30"/>
      <c r="H34" s="30"/>
      <c r="I34" s="30"/>
      <c r="J34" s="30"/>
      <c r="K34" s="244"/>
      <c r="L34" s="244"/>
      <c r="M34" s="244"/>
      <c r="N34" s="95"/>
      <c r="O34" s="142"/>
      <c r="P34" s="95"/>
      <c r="Q34" s="95"/>
      <c r="R34" s="95"/>
    </row>
    <row r="35" spans="2:23" ht="14.25" x14ac:dyDescent="0.25">
      <c r="B35" s="30" t="s">
        <v>194</v>
      </c>
      <c r="C35" s="30"/>
      <c r="D35" s="30"/>
      <c r="E35" s="30"/>
      <c r="F35" s="30"/>
      <c r="G35" s="30"/>
      <c r="H35" s="30"/>
      <c r="I35" s="30"/>
      <c r="J35" s="30"/>
      <c r="K35" s="244"/>
      <c r="L35" s="244"/>
      <c r="M35" s="244"/>
      <c r="N35" s="95"/>
      <c r="O35" s="142"/>
      <c r="P35" s="95"/>
      <c r="Q35" s="95"/>
      <c r="R35" s="95"/>
    </row>
    <row r="36" spans="2:23" x14ac:dyDescent="0.25">
      <c r="B36" s="30" t="s">
        <v>196</v>
      </c>
      <c r="C36" s="30"/>
      <c r="D36" s="30"/>
      <c r="E36" s="30"/>
      <c r="F36" s="30"/>
      <c r="G36" s="30"/>
      <c r="H36" s="30"/>
      <c r="I36" s="101"/>
      <c r="J36" s="141"/>
      <c r="K36" s="244"/>
      <c r="L36" s="244"/>
      <c r="M36" s="244"/>
      <c r="N36" s="95"/>
      <c r="O36" s="142"/>
      <c r="P36" s="95"/>
      <c r="Q36" s="95"/>
      <c r="R36" s="95"/>
    </row>
    <row r="37" spans="2:23" x14ac:dyDescent="0.25">
      <c r="B37" s="30" t="s">
        <v>203</v>
      </c>
      <c r="C37" s="30"/>
      <c r="D37" s="30"/>
      <c r="E37" s="30"/>
      <c r="F37" s="30"/>
      <c r="G37" s="30"/>
      <c r="H37" s="30"/>
      <c r="I37" s="101"/>
      <c r="J37" s="141"/>
      <c r="K37" s="244"/>
      <c r="L37" s="244"/>
      <c r="M37" s="244"/>
      <c r="N37" s="95"/>
      <c r="O37" s="142"/>
      <c r="P37" s="95"/>
      <c r="Q37" s="95"/>
      <c r="R37" s="95"/>
    </row>
    <row r="38" spans="2:23" x14ac:dyDescent="0.25">
      <c r="B38" s="539" t="s">
        <v>269</v>
      </c>
      <c r="C38" s="539"/>
      <c r="D38" s="539"/>
      <c r="E38" s="539"/>
      <c r="F38" s="539"/>
      <c r="G38" s="539"/>
      <c r="H38" s="539"/>
      <c r="I38" s="101"/>
      <c r="J38" s="141"/>
      <c r="K38" s="244"/>
      <c r="L38" s="244"/>
      <c r="M38" s="244"/>
      <c r="N38" s="95"/>
      <c r="O38" s="142"/>
      <c r="P38" s="95"/>
      <c r="Q38" s="95"/>
      <c r="R38" s="95"/>
    </row>
    <row r="39" spans="2:23" x14ac:dyDescent="0.25">
      <c r="B39" s="539" t="s">
        <v>307</v>
      </c>
      <c r="C39" s="539"/>
      <c r="D39" s="539"/>
      <c r="E39" s="539"/>
      <c r="F39" s="539"/>
      <c r="G39" s="539"/>
      <c r="H39" s="539"/>
      <c r="I39" s="101"/>
      <c r="J39" s="141"/>
      <c r="K39" s="244"/>
      <c r="L39" s="244"/>
      <c r="M39" s="244"/>
      <c r="N39" s="95"/>
      <c r="O39" s="142"/>
      <c r="P39" s="95"/>
      <c r="Q39" s="95"/>
      <c r="R39" s="95"/>
    </row>
    <row r="40" spans="2:23" x14ac:dyDescent="0.25">
      <c r="B40" s="539" t="s">
        <v>308</v>
      </c>
      <c r="C40" s="539"/>
      <c r="D40" s="539"/>
      <c r="E40" s="539"/>
      <c r="F40" s="539"/>
      <c r="G40" s="539"/>
      <c r="H40" s="539"/>
      <c r="I40" s="101"/>
      <c r="J40" s="141"/>
      <c r="K40" s="244"/>
      <c r="L40" s="244"/>
      <c r="M40" s="244"/>
      <c r="N40" s="95"/>
      <c r="O40" s="142"/>
      <c r="P40" s="95"/>
      <c r="Q40" s="95"/>
      <c r="R40" s="95"/>
    </row>
    <row r="41" spans="2:23" x14ac:dyDescent="0.25">
      <c r="B41" s="539" t="s">
        <v>426</v>
      </c>
      <c r="C41" s="539"/>
      <c r="D41" s="539"/>
      <c r="E41" s="539"/>
      <c r="F41" s="539"/>
      <c r="G41" s="539"/>
      <c r="H41" s="539"/>
      <c r="I41" s="101"/>
      <c r="J41" s="141"/>
      <c r="K41" s="473"/>
      <c r="L41" s="473"/>
      <c r="M41" s="473"/>
      <c r="N41" s="95"/>
      <c r="O41" s="142"/>
      <c r="P41" s="95"/>
      <c r="Q41" s="95"/>
      <c r="R41" s="95"/>
    </row>
    <row r="42" spans="2:23" x14ac:dyDescent="0.25">
      <c r="B42" s="244"/>
      <c r="C42" s="244"/>
      <c r="D42" s="244"/>
      <c r="E42" s="244"/>
      <c r="F42" s="244"/>
      <c r="G42" s="244"/>
      <c r="H42" s="244"/>
      <c r="I42" s="101"/>
      <c r="J42" s="141"/>
      <c r="K42" s="244"/>
      <c r="L42" s="244"/>
      <c r="M42" s="244"/>
      <c r="N42" s="95"/>
      <c r="O42" s="142"/>
      <c r="P42" s="95"/>
      <c r="Q42" s="95"/>
      <c r="R42" s="95"/>
    </row>
    <row r="43" spans="2:23" x14ac:dyDescent="0.25">
      <c r="B43" s="539" t="s">
        <v>470</v>
      </c>
      <c r="C43" s="539"/>
      <c r="D43" s="539"/>
      <c r="E43" s="539"/>
      <c r="F43" s="539"/>
      <c r="G43" s="539"/>
      <c r="H43" s="539"/>
      <c r="I43" s="101"/>
      <c r="J43" s="141"/>
      <c r="K43" s="539"/>
      <c r="L43" s="539"/>
      <c r="M43" s="539"/>
      <c r="N43" s="95"/>
      <c r="O43" s="142"/>
      <c r="P43" s="95"/>
      <c r="Q43" s="95"/>
      <c r="R43" s="95"/>
    </row>
    <row r="44" spans="2:23" x14ac:dyDescent="0.25">
      <c r="B44" s="32" t="s">
        <v>18</v>
      </c>
      <c r="C44" s="54" t="s">
        <v>241</v>
      </c>
      <c r="D44" s="162" t="s">
        <v>16</v>
      </c>
      <c r="E44" s="630" t="s">
        <v>15</v>
      </c>
      <c r="F44" s="630"/>
      <c r="G44" s="53"/>
      <c r="H44" s="95"/>
      <c r="I44" s="53"/>
      <c r="J44" s="95"/>
      <c r="K44" s="95"/>
      <c r="L44" s="142"/>
      <c r="M44" s="95"/>
      <c r="N44" s="95"/>
      <c r="O44" s="142"/>
      <c r="P44" s="95"/>
      <c r="Q44" s="95"/>
      <c r="R44" s="95"/>
    </row>
    <row r="45" spans="2:23" x14ac:dyDescent="0.25">
      <c r="B45" s="124"/>
      <c r="C45" s="34" t="s">
        <v>145</v>
      </c>
      <c r="D45" s="95"/>
      <c r="E45" s="131"/>
      <c r="F45" s="142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53"/>
      <c r="R45" s="53"/>
      <c r="S45" s="30"/>
      <c r="V45" s="101"/>
      <c r="W45" s="101"/>
    </row>
    <row r="46" spans="2:23" x14ac:dyDescent="0.25">
      <c r="B46" s="124">
        <v>1</v>
      </c>
      <c r="C46" s="30" t="s">
        <v>198</v>
      </c>
      <c r="D46" s="164" t="s">
        <v>265</v>
      </c>
      <c r="E46" s="628">
        <v>3</v>
      </c>
      <c r="F46" s="628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53"/>
      <c r="R46" s="53"/>
      <c r="S46" s="30"/>
      <c r="V46" s="101"/>
      <c r="W46" s="101"/>
    </row>
    <row r="47" spans="2:23" x14ac:dyDescent="0.25">
      <c r="B47" s="124">
        <v>2</v>
      </c>
      <c r="C47" s="30" t="s">
        <v>69</v>
      </c>
      <c r="D47" s="164" t="s">
        <v>265</v>
      </c>
      <c r="E47" s="628">
        <v>1.5</v>
      </c>
      <c r="F47" s="62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53"/>
      <c r="R47" s="53"/>
      <c r="S47" s="30"/>
      <c r="V47" s="101"/>
      <c r="W47" s="101"/>
    </row>
    <row r="48" spans="2:23" x14ac:dyDescent="0.25">
      <c r="B48" s="124">
        <v>3</v>
      </c>
      <c r="C48" s="30" t="s">
        <v>197</v>
      </c>
      <c r="D48" s="164" t="s">
        <v>265</v>
      </c>
      <c r="E48" s="628">
        <v>3</v>
      </c>
      <c r="F48" s="628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53"/>
      <c r="R48" s="53"/>
      <c r="S48" s="30"/>
      <c r="V48" s="101"/>
      <c r="W48" s="101"/>
    </row>
    <row r="49" spans="2:23" x14ac:dyDescent="0.25">
      <c r="B49" s="124">
        <v>4</v>
      </c>
      <c r="C49" s="30" t="s">
        <v>63</v>
      </c>
      <c r="D49" s="164" t="s">
        <v>265</v>
      </c>
      <c r="E49" s="628">
        <v>1.5</v>
      </c>
      <c r="F49" s="628"/>
      <c r="G49" s="95"/>
      <c r="H49" s="145"/>
      <c r="I49" s="142"/>
      <c r="J49" s="95"/>
      <c r="K49" s="145"/>
      <c r="L49" s="142"/>
      <c r="M49" s="95"/>
      <c r="N49" s="145"/>
      <c r="O49" s="142"/>
      <c r="P49" s="95"/>
      <c r="Q49" s="53"/>
      <c r="R49" s="53"/>
      <c r="S49" s="30"/>
      <c r="V49" s="101"/>
      <c r="W49" s="101"/>
    </row>
    <row r="50" spans="2:23" x14ac:dyDescent="0.25">
      <c r="B50" s="124">
        <v>5</v>
      </c>
      <c r="C50" s="30" t="s">
        <v>199</v>
      </c>
      <c r="D50" s="164" t="s">
        <v>265</v>
      </c>
      <c r="E50" s="289"/>
      <c r="F50" s="289">
        <v>1.5</v>
      </c>
      <c r="G50" s="95"/>
      <c r="H50" s="145"/>
      <c r="I50" s="142"/>
      <c r="J50" s="95"/>
      <c r="K50" s="145"/>
      <c r="L50" s="142"/>
      <c r="M50" s="95"/>
      <c r="N50" s="145"/>
      <c r="O50" s="142"/>
      <c r="P50" s="95"/>
      <c r="Q50" s="53"/>
      <c r="R50" s="53"/>
      <c r="S50" s="30"/>
      <c r="V50" s="101"/>
      <c r="W50" s="101"/>
    </row>
    <row r="51" spans="2:23" x14ac:dyDescent="0.25">
      <c r="B51" s="124">
        <v>6</v>
      </c>
      <c r="C51" s="30" t="s">
        <v>200</v>
      </c>
      <c r="D51" s="164" t="s">
        <v>265</v>
      </c>
      <c r="E51" s="628">
        <v>1.5</v>
      </c>
      <c r="F51" s="628"/>
      <c r="G51" s="95"/>
      <c r="H51" s="145"/>
      <c r="I51" s="142"/>
      <c r="J51" s="95"/>
      <c r="K51" s="145"/>
      <c r="L51" s="142"/>
      <c r="M51" s="95"/>
      <c r="N51" s="145"/>
      <c r="O51" s="142"/>
      <c r="P51" s="95"/>
      <c r="Q51" s="53"/>
      <c r="R51" s="53"/>
      <c r="S51" s="30"/>
      <c r="V51" s="101"/>
      <c r="W51" s="101"/>
    </row>
    <row r="52" spans="2:23" x14ac:dyDescent="0.25">
      <c r="B52" s="124">
        <v>7</v>
      </c>
      <c r="C52" s="30" t="s">
        <v>202</v>
      </c>
      <c r="D52" s="164" t="s">
        <v>265</v>
      </c>
      <c r="E52" s="628">
        <v>5</v>
      </c>
      <c r="F52" s="628"/>
      <c r="G52" s="95"/>
      <c r="H52" s="145"/>
      <c r="I52" s="142"/>
      <c r="J52" s="95"/>
      <c r="K52" s="145"/>
      <c r="L52" s="142"/>
      <c r="M52" s="95"/>
      <c r="N52" s="145"/>
      <c r="O52" s="142"/>
      <c r="P52" s="95"/>
      <c r="Q52" s="53"/>
      <c r="R52" s="53"/>
      <c r="S52" s="30"/>
      <c r="V52" s="101"/>
      <c r="W52" s="101"/>
    </row>
    <row r="53" spans="2:23" x14ac:dyDescent="0.25">
      <c r="B53" s="124"/>
      <c r="C53" s="34" t="s">
        <v>147</v>
      </c>
      <c r="D53" s="95"/>
      <c r="E53" s="631"/>
      <c r="F53" s="631"/>
      <c r="G53" s="95"/>
      <c r="H53" s="131"/>
      <c r="I53" s="142"/>
      <c r="J53" s="95"/>
      <c r="K53" s="131"/>
      <c r="L53" s="142"/>
      <c r="M53" s="95"/>
      <c r="N53" s="131"/>
      <c r="O53" s="142"/>
      <c r="P53" s="95"/>
      <c r="Q53" s="53"/>
      <c r="R53" s="53"/>
      <c r="S53" s="30"/>
    </row>
    <row r="54" spans="2:23" x14ac:dyDescent="0.25">
      <c r="B54" s="124">
        <v>8</v>
      </c>
      <c r="C54" s="30" t="s">
        <v>148</v>
      </c>
      <c r="D54" s="164" t="s">
        <v>265</v>
      </c>
      <c r="E54" s="628">
        <v>0.25</v>
      </c>
      <c r="F54" s="628"/>
      <c r="G54" s="95"/>
      <c r="H54" s="145"/>
      <c r="I54" s="113"/>
      <c r="J54" s="95"/>
      <c r="K54" s="145"/>
      <c r="L54" s="142"/>
      <c r="M54" s="95"/>
      <c r="N54" s="145"/>
      <c r="O54" s="142"/>
      <c r="P54" s="95"/>
      <c r="Q54" s="53"/>
      <c r="R54" s="53"/>
      <c r="S54" s="30"/>
    </row>
    <row r="55" spans="2:23" x14ac:dyDescent="0.25">
      <c r="B55" s="126">
        <v>9</v>
      </c>
      <c r="C55" s="31" t="s">
        <v>152</v>
      </c>
      <c r="D55" s="164" t="s">
        <v>265</v>
      </c>
      <c r="E55" s="632">
        <v>1</v>
      </c>
      <c r="F55" s="632"/>
      <c r="G55" s="95"/>
      <c r="H55" s="145"/>
      <c r="I55" s="142"/>
      <c r="J55" s="95"/>
      <c r="K55" s="145"/>
      <c r="L55" s="142"/>
      <c r="M55" s="95"/>
      <c r="N55" s="145"/>
      <c r="O55" s="142"/>
      <c r="P55" s="95"/>
      <c r="Q55" s="53"/>
      <c r="R55" s="53"/>
      <c r="S55" s="30"/>
    </row>
    <row r="56" spans="2:23" x14ac:dyDescent="0.25">
      <c r="B56" s="126">
        <v>10</v>
      </c>
      <c r="C56" s="31" t="s">
        <v>201</v>
      </c>
      <c r="D56" s="164" t="s">
        <v>265</v>
      </c>
      <c r="E56" s="288"/>
      <c r="F56" s="290">
        <f>E52*10%</f>
        <v>0.5</v>
      </c>
      <c r="G56" s="95"/>
      <c r="H56" s="177"/>
      <c r="I56" s="142"/>
      <c r="J56" s="95"/>
      <c r="K56" s="145"/>
      <c r="L56" s="142"/>
      <c r="M56" s="95"/>
      <c r="N56" s="145"/>
      <c r="O56" s="142"/>
      <c r="P56" s="95"/>
      <c r="Q56" s="53"/>
      <c r="R56" s="53"/>
      <c r="S56" s="30"/>
    </row>
    <row r="57" spans="2:23" x14ac:dyDescent="0.25">
      <c r="B57" s="126">
        <v>11</v>
      </c>
      <c r="C57" s="31" t="s">
        <v>263</v>
      </c>
      <c r="D57" s="164" t="s">
        <v>264</v>
      </c>
      <c r="E57" s="176"/>
      <c r="F57" s="389">
        <f>(SUM(E46:F56))</f>
        <v>18.75</v>
      </c>
      <c r="G57" s="95"/>
      <c r="H57" s="145"/>
      <c r="I57" s="142"/>
      <c r="J57" s="95"/>
      <c r="K57" s="145"/>
      <c r="L57" s="142"/>
      <c r="M57" s="95"/>
      <c r="N57" s="145"/>
      <c r="O57" s="142"/>
      <c r="P57" s="95"/>
      <c r="Q57" s="53"/>
      <c r="R57" s="53"/>
      <c r="S57" s="30"/>
    </row>
    <row r="58" spans="2:23" x14ac:dyDescent="0.25">
      <c r="B58" s="161">
        <v>12</v>
      </c>
      <c r="C58" s="35" t="s">
        <v>239</v>
      </c>
      <c r="D58" s="122" t="s">
        <v>262</v>
      </c>
      <c r="E58" s="175"/>
      <c r="F58" s="390">
        <f>(SUM(E57:F57))*E6</f>
        <v>412.5</v>
      </c>
      <c r="G58" s="95"/>
      <c r="H58" s="145"/>
      <c r="I58" s="142"/>
      <c r="J58" s="95"/>
      <c r="K58" s="145"/>
      <c r="L58" s="142"/>
      <c r="M58" s="95"/>
      <c r="N58" s="145"/>
      <c r="O58" s="142"/>
      <c r="P58" s="95"/>
      <c r="Q58" s="53"/>
      <c r="R58" s="53"/>
      <c r="S58" s="30"/>
    </row>
    <row r="59" spans="2:23" x14ac:dyDescent="0.25">
      <c r="B59" s="629" t="s">
        <v>210</v>
      </c>
      <c r="C59" s="629"/>
      <c r="D59" s="53"/>
      <c r="E59" s="53"/>
      <c r="F59" s="53"/>
      <c r="G59" s="53"/>
      <c r="H59" s="621"/>
      <c r="I59" s="621"/>
      <c r="J59" s="621"/>
      <c r="K59" s="621"/>
      <c r="L59" s="621"/>
      <c r="M59" s="95"/>
      <c r="N59" s="145"/>
      <c r="O59" s="142"/>
      <c r="P59" s="95"/>
      <c r="Q59" s="53"/>
      <c r="R59" s="53"/>
      <c r="S59" s="30"/>
    </row>
    <row r="60" spans="2:23" x14ac:dyDescent="0.25">
      <c r="B60" s="621" t="s">
        <v>211</v>
      </c>
      <c r="C60" s="621"/>
      <c r="D60" s="621"/>
      <c r="E60" s="621"/>
      <c r="F60" s="621"/>
      <c r="G60" s="53"/>
      <c r="H60" s="53"/>
      <c r="I60" s="145"/>
      <c r="J60" s="142"/>
      <c r="K60" s="95"/>
      <c r="L60" s="142"/>
      <c r="M60" s="95"/>
      <c r="N60" s="145"/>
      <c r="O60" s="142"/>
      <c r="P60" s="95"/>
      <c r="Q60" s="53"/>
      <c r="R60" s="53"/>
      <c r="S60" s="30"/>
    </row>
    <row r="61" spans="2:23" x14ac:dyDescent="0.25">
      <c r="B61" s="621" t="s">
        <v>231</v>
      </c>
      <c r="C61" s="621"/>
      <c r="D61" s="621"/>
      <c r="E61" s="621"/>
      <c r="F61" s="621"/>
      <c r="G61" s="53"/>
      <c r="H61" s="53"/>
      <c r="I61" s="53"/>
      <c r="J61" s="53"/>
      <c r="K61" s="53"/>
      <c r="L61" s="142"/>
      <c r="M61" s="95"/>
      <c r="N61" s="145"/>
      <c r="O61" s="142"/>
      <c r="P61" s="95"/>
      <c r="Q61" s="53"/>
      <c r="R61" s="53"/>
      <c r="S61" s="30"/>
    </row>
    <row r="62" spans="2:23" x14ac:dyDescent="0.25">
      <c r="B62" s="124"/>
      <c r="C62" s="30"/>
      <c r="D62" s="95"/>
      <c r="E62" s="152"/>
      <c r="F62" s="153"/>
      <c r="G62" s="95"/>
      <c r="H62" s="145"/>
      <c r="I62" s="142"/>
      <c r="J62" s="95"/>
      <c r="K62" s="145"/>
      <c r="L62" s="142"/>
      <c r="M62" s="95"/>
      <c r="N62" s="145"/>
      <c r="O62" s="142"/>
      <c r="P62" s="95"/>
      <c r="Q62" s="53"/>
      <c r="R62" s="53"/>
      <c r="S62" s="30"/>
    </row>
    <row r="63" spans="2:23" x14ac:dyDescent="0.25">
      <c r="B63" s="539" t="s">
        <v>471</v>
      </c>
      <c r="C63" s="30"/>
      <c r="D63" s="95"/>
      <c r="E63" s="152"/>
      <c r="F63" s="153"/>
      <c r="G63" s="95"/>
      <c r="H63" s="145"/>
      <c r="I63" s="142"/>
      <c r="J63" s="95"/>
      <c r="K63" s="145"/>
      <c r="L63" s="142"/>
      <c r="M63" s="95"/>
      <c r="N63" s="145"/>
      <c r="O63" s="142"/>
      <c r="P63" s="95"/>
      <c r="Q63" s="53"/>
      <c r="R63" s="53"/>
      <c r="S63" s="30"/>
    </row>
    <row r="64" spans="2:23" x14ac:dyDescent="0.25">
      <c r="B64" s="634" t="s">
        <v>18</v>
      </c>
      <c r="C64" s="637" t="s">
        <v>240</v>
      </c>
      <c r="D64" s="118" t="s">
        <v>205</v>
      </c>
      <c r="E64" s="633" t="s">
        <v>70</v>
      </c>
      <c r="F64" s="633"/>
      <c r="G64" s="123" t="s">
        <v>72</v>
      </c>
      <c r="H64" s="636" t="s">
        <v>74</v>
      </c>
      <c r="I64" s="636"/>
      <c r="J64" s="123" t="s">
        <v>76</v>
      </c>
      <c r="K64" s="636" t="s">
        <v>78</v>
      </c>
      <c r="L64" s="636"/>
      <c r="M64" s="123" t="s">
        <v>80</v>
      </c>
      <c r="N64" s="95"/>
      <c r="O64" s="142"/>
      <c r="P64" s="95"/>
      <c r="Q64" s="95"/>
      <c r="R64" s="95"/>
    </row>
    <row r="65" spans="2:23" x14ac:dyDescent="0.25">
      <c r="B65" s="635"/>
      <c r="C65" s="638"/>
      <c r="D65" s="159"/>
      <c r="E65" s="155" t="s">
        <v>246</v>
      </c>
      <c r="F65" s="155"/>
      <c r="G65" s="121"/>
      <c r="H65" s="121"/>
      <c r="I65" s="121"/>
      <c r="J65" s="121"/>
      <c r="K65" s="121"/>
      <c r="L65" s="121"/>
      <c r="M65" s="121"/>
      <c r="N65" s="95"/>
      <c r="O65" s="142"/>
      <c r="P65" s="95"/>
      <c r="Q65" s="95"/>
      <c r="R65" s="95"/>
    </row>
    <row r="66" spans="2:23" ht="15" customHeight="1" x14ac:dyDescent="0.25">
      <c r="B66" s="39">
        <v>1</v>
      </c>
      <c r="C66" s="135" t="s">
        <v>61</v>
      </c>
      <c r="D66" s="121" t="s">
        <v>156</v>
      </c>
      <c r="E66" s="396">
        <v>1</v>
      </c>
      <c r="F66" s="391">
        <f>$E$19*E66</f>
        <v>40</v>
      </c>
      <c r="G66" s="392">
        <f>$E$20*E66</f>
        <v>40</v>
      </c>
      <c r="H66" s="616">
        <f>$E$21*E66</f>
        <v>30</v>
      </c>
      <c r="I66" s="616"/>
      <c r="J66" s="392">
        <f>$E$22*E66</f>
        <v>20</v>
      </c>
      <c r="K66" s="616">
        <f>$E$23*E66</f>
        <v>16</v>
      </c>
      <c r="L66" s="616"/>
      <c r="M66" s="392">
        <f>$E$24*E66</f>
        <v>52</v>
      </c>
      <c r="N66" s="131"/>
      <c r="O66" s="142"/>
      <c r="P66" s="95"/>
      <c r="Q66" s="53"/>
      <c r="R66" s="53"/>
      <c r="S66" s="30"/>
      <c r="V66" s="101"/>
      <c r="W66" s="101"/>
    </row>
    <row r="67" spans="2:23" ht="15" customHeight="1" x14ac:dyDescent="0.25">
      <c r="B67" s="39">
        <v>2</v>
      </c>
      <c r="C67" s="136" t="s">
        <v>62</v>
      </c>
      <c r="D67" s="98" t="s">
        <v>156</v>
      </c>
      <c r="E67" s="397">
        <v>1</v>
      </c>
      <c r="F67" s="393">
        <f>$E$19*E67</f>
        <v>40</v>
      </c>
      <c r="G67" s="180">
        <f t="shared" ref="G67:G89" si="0">$E$20*E67</f>
        <v>40</v>
      </c>
      <c r="H67" s="617">
        <f t="shared" ref="H67:H75" si="1">$E$21*E67</f>
        <v>30</v>
      </c>
      <c r="I67" s="617"/>
      <c r="J67" s="180">
        <f t="shared" ref="J67:J89" si="2">$E$22*E67</f>
        <v>20</v>
      </c>
      <c r="K67" s="617">
        <f t="shared" ref="K67:K82" si="3">$E$23*E67</f>
        <v>16</v>
      </c>
      <c r="L67" s="617"/>
      <c r="M67" s="180">
        <f t="shared" ref="M67:M89" si="4">$E$24*E67</f>
        <v>52</v>
      </c>
      <c r="N67" s="131"/>
      <c r="O67" s="142"/>
      <c r="P67" s="95"/>
      <c r="Q67" s="53"/>
      <c r="R67" s="53"/>
      <c r="S67" s="30"/>
      <c r="V67" s="101"/>
      <c r="W67" s="101"/>
    </row>
    <row r="68" spans="2:23" x14ac:dyDescent="0.25">
      <c r="B68" s="39">
        <v>3</v>
      </c>
      <c r="C68" s="31" t="s">
        <v>157</v>
      </c>
      <c r="D68" s="98" t="s">
        <v>156</v>
      </c>
      <c r="E68" s="397">
        <v>1</v>
      </c>
      <c r="F68" s="393">
        <f t="shared" ref="F68:F89" si="5">$E$19*E68</f>
        <v>40</v>
      </c>
      <c r="G68" s="180">
        <f t="shared" si="0"/>
        <v>40</v>
      </c>
      <c r="H68" s="617">
        <f t="shared" si="1"/>
        <v>30</v>
      </c>
      <c r="I68" s="617"/>
      <c r="J68" s="180">
        <f t="shared" si="2"/>
        <v>20</v>
      </c>
      <c r="K68" s="617">
        <f t="shared" si="3"/>
        <v>16</v>
      </c>
      <c r="L68" s="617"/>
      <c r="M68" s="180">
        <f t="shared" si="4"/>
        <v>52</v>
      </c>
      <c r="N68" s="131"/>
      <c r="O68" s="142"/>
      <c r="P68" s="95"/>
      <c r="Q68" s="53"/>
      <c r="R68" s="53"/>
      <c r="S68" s="30"/>
      <c r="V68" s="101"/>
      <c r="W68" s="101"/>
    </row>
    <row r="69" spans="2:23" x14ac:dyDescent="0.25">
      <c r="B69" s="39"/>
      <c r="C69" s="36" t="s">
        <v>145</v>
      </c>
      <c r="D69" s="98"/>
      <c r="E69" s="180"/>
      <c r="F69" s="393"/>
      <c r="G69" s="180"/>
      <c r="H69" s="617"/>
      <c r="I69" s="617"/>
      <c r="J69" s="180"/>
      <c r="K69" s="617"/>
      <c r="L69" s="617"/>
      <c r="M69" s="180"/>
      <c r="N69" s="131"/>
      <c r="O69" s="142"/>
      <c r="P69" s="95"/>
      <c r="Q69" s="53"/>
      <c r="R69" s="53"/>
      <c r="S69" s="30"/>
      <c r="V69" s="101"/>
      <c r="W69" s="101"/>
    </row>
    <row r="70" spans="2:23" x14ac:dyDescent="0.25">
      <c r="B70" s="39">
        <v>4</v>
      </c>
      <c r="C70" s="31" t="s">
        <v>206</v>
      </c>
      <c r="D70" s="98" t="s">
        <v>156</v>
      </c>
      <c r="E70" s="398">
        <v>1</v>
      </c>
      <c r="F70" s="393">
        <f t="shared" si="5"/>
        <v>40</v>
      </c>
      <c r="G70" s="180">
        <f t="shared" si="0"/>
        <v>40</v>
      </c>
      <c r="H70" s="617">
        <f t="shared" si="1"/>
        <v>30</v>
      </c>
      <c r="I70" s="617"/>
      <c r="J70" s="180">
        <f t="shared" si="2"/>
        <v>20</v>
      </c>
      <c r="K70" s="617">
        <f t="shared" si="3"/>
        <v>16</v>
      </c>
      <c r="L70" s="617"/>
      <c r="M70" s="180">
        <f t="shared" si="4"/>
        <v>52</v>
      </c>
      <c r="N70" s="145"/>
      <c r="O70" s="142"/>
      <c r="P70" s="95"/>
      <c r="Q70" s="53"/>
      <c r="R70" s="53"/>
      <c r="S70" s="30"/>
      <c r="V70" s="101"/>
      <c r="W70" s="101"/>
    </row>
    <row r="71" spans="2:23" x14ac:dyDescent="0.25">
      <c r="B71" s="39">
        <v>5</v>
      </c>
      <c r="C71" s="31" t="s">
        <v>249</v>
      </c>
      <c r="D71" s="98" t="s">
        <v>156</v>
      </c>
      <c r="E71" s="398">
        <v>2</v>
      </c>
      <c r="F71" s="393">
        <f>$E$19*E71</f>
        <v>80</v>
      </c>
      <c r="G71" s="180">
        <f>$E$20*E71</f>
        <v>80</v>
      </c>
      <c r="H71" s="617">
        <f>$E$21*E71</f>
        <v>60</v>
      </c>
      <c r="I71" s="617"/>
      <c r="J71" s="180">
        <f>$E$22*E71</f>
        <v>40</v>
      </c>
      <c r="K71" s="617">
        <f>$E$23*E71</f>
        <v>32</v>
      </c>
      <c r="L71" s="617"/>
      <c r="M71" s="180">
        <f>$E$24*E71</f>
        <v>104</v>
      </c>
      <c r="N71" s="145"/>
      <c r="O71" s="142"/>
      <c r="P71" s="95"/>
      <c r="Q71" s="53"/>
      <c r="R71" s="53"/>
      <c r="S71" s="30"/>
      <c r="V71" s="101"/>
      <c r="W71" s="101"/>
    </row>
    <row r="72" spans="2:23" x14ac:dyDescent="0.25">
      <c r="B72" s="39">
        <v>6</v>
      </c>
      <c r="C72" s="31" t="s">
        <v>69</v>
      </c>
      <c r="D72" s="98" t="s">
        <v>156</v>
      </c>
      <c r="E72" s="398">
        <v>1</v>
      </c>
      <c r="F72" s="393">
        <f t="shared" si="5"/>
        <v>40</v>
      </c>
      <c r="G72" s="180">
        <f t="shared" si="0"/>
        <v>40</v>
      </c>
      <c r="H72" s="617">
        <f t="shared" si="1"/>
        <v>30</v>
      </c>
      <c r="I72" s="617"/>
      <c r="J72" s="180">
        <f t="shared" si="2"/>
        <v>20</v>
      </c>
      <c r="K72" s="617">
        <f t="shared" si="3"/>
        <v>16</v>
      </c>
      <c r="L72" s="617"/>
      <c r="M72" s="180">
        <f t="shared" si="4"/>
        <v>52</v>
      </c>
      <c r="N72" s="145"/>
      <c r="O72" s="142"/>
      <c r="P72" s="95"/>
      <c r="Q72" s="53"/>
      <c r="R72" s="53"/>
      <c r="S72" s="30"/>
      <c r="V72" s="101"/>
      <c r="W72" s="101"/>
    </row>
    <row r="73" spans="2:23" x14ac:dyDescent="0.25">
      <c r="B73" s="39">
        <v>7</v>
      </c>
      <c r="C73" s="31" t="s">
        <v>146</v>
      </c>
      <c r="D73" s="98" t="s">
        <v>156</v>
      </c>
      <c r="E73" s="398">
        <v>1</v>
      </c>
      <c r="F73" s="393">
        <f t="shared" si="5"/>
        <v>40</v>
      </c>
      <c r="G73" s="180">
        <f t="shared" si="0"/>
        <v>40</v>
      </c>
      <c r="H73" s="617">
        <f t="shared" si="1"/>
        <v>30</v>
      </c>
      <c r="I73" s="617"/>
      <c r="J73" s="180">
        <f t="shared" si="2"/>
        <v>20</v>
      </c>
      <c r="K73" s="617">
        <f t="shared" si="3"/>
        <v>16</v>
      </c>
      <c r="L73" s="617"/>
      <c r="M73" s="180">
        <f t="shared" si="4"/>
        <v>52</v>
      </c>
      <c r="N73" s="145"/>
      <c r="O73" s="142"/>
      <c r="P73" s="95"/>
      <c r="Q73" s="53"/>
      <c r="R73" s="53"/>
      <c r="S73" s="30"/>
      <c r="V73" s="101"/>
      <c r="W73" s="101"/>
    </row>
    <row r="74" spans="2:23" x14ac:dyDescent="0.25">
      <c r="B74" s="39">
        <v>8</v>
      </c>
      <c r="C74" s="31" t="s">
        <v>63</v>
      </c>
      <c r="D74" s="98" t="s">
        <v>156</v>
      </c>
      <c r="E74" s="398">
        <v>1</v>
      </c>
      <c r="F74" s="393">
        <f t="shared" si="5"/>
        <v>40</v>
      </c>
      <c r="G74" s="180">
        <f t="shared" si="0"/>
        <v>40</v>
      </c>
      <c r="H74" s="617">
        <f t="shared" si="1"/>
        <v>30</v>
      </c>
      <c r="I74" s="617"/>
      <c r="J74" s="180">
        <f>$E$22*E74</f>
        <v>20</v>
      </c>
      <c r="K74" s="617">
        <f t="shared" si="3"/>
        <v>16</v>
      </c>
      <c r="L74" s="617"/>
      <c r="M74" s="180">
        <f t="shared" si="4"/>
        <v>52</v>
      </c>
      <c r="N74" s="145"/>
      <c r="O74" s="142"/>
      <c r="P74" s="95"/>
      <c r="Q74" s="53"/>
      <c r="R74" s="53"/>
      <c r="S74" s="30"/>
      <c r="V74" s="101"/>
      <c r="W74" s="101"/>
    </row>
    <row r="75" spans="2:23" x14ac:dyDescent="0.25">
      <c r="B75" s="39">
        <v>9</v>
      </c>
      <c r="C75" s="31" t="s">
        <v>64</v>
      </c>
      <c r="D75" s="98" t="s">
        <v>156</v>
      </c>
      <c r="E75" s="399">
        <v>1</v>
      </c>
      <c r="F75" s="393">
        <f t="shared" si="5"/>
        <v>40</v>
      </c>
      <c r="G75" s="180">
        <f t="shared" si="0"/>
        <v>40</v>
      </c>
      <c r="H75" s="617">
        <f t="shared" si="1"/>
        <v>30</v>
      </c>
      <c r="I75" s="617"/>
      <c r="J75" s="180">
        <f t="shared" si="2"/>
        <v>20</v>
      </c>
      <c r="K75" s="617">
        <f t="shared" si="3"/>
        <v>16</v>
      </c>
      <c r="L75" s="617"/>
      <c r="M75" s="180">
        <f t="shared" si="4"/>
        <v>52</v>
      </c>
      <c r="N75" s="145"/>
      <c r="O75" s="142"/>
      <c r="P75" s="95"/>
      <c r="Q75" s="53"/>
      <c r="R75" s="53"/>
      <c r="S75" s="30"/>
      <c r="V75" s="101"/>
      <c r="W75" s="101"/>
    </row>
    <row r="76" spans="2:23" x14ac:dyDescent="0.25">
      <c r="B76" s="39">
        <v>10</v>
      </c>
      <c r="C76" s="30" t="s">
        <v>202</v>
      </c>
      <c r="D76" s="98" t="s">
        <v>156</v>
      </c>
      <c r="E76" s="399">
        <v>3</v>
      </c>
      <c r="F76" s="393">
        <f t="shared" si="5"/>
        <v>120</v>
      </c>
      <c r="G76" s="180">
        <f t="shared" si="0"/>
        <v>120</v>
      </c>
      <c r="H76" s="617">
        <f>$E$21*E76</f>
        <v>90</v>
      </c>
      <c r="I76" s="617"/>
      <c r="J76" s="180">
        <f t="shared" si="2"/>
        <v>60</v>
      </c>
      <c r="K76" s="617">
        <f t="shared" ref="K76" si="6">$E$23*E76</f>
        <v>48</v>
      </c>
      <c r="L76" s="617"/>
      <c r="M76" s="180">
        <f t="shared" si="4"/>
        <v>156</v>
      </c>
      <c r="N76" s="145"/>
      <c r="O76" s="142"/>
      <c r="P76" s="95"/>
      <c r="Q76" s="53"/>
      <c r="R76" s="53"/>
      <c r="S76" s="30"/>
      <c r="V76" s="101"/>
      <c r="W76" s="101"/>
    </row>
    <row r="77" spans="2:23" x14ac:dyDescent="0.25">
      <c r="B77" s="39">
        <v>11</v>
      </c>
      <c r="C77" s="31" t="s">
        <v>204</v>
      </c>
      <c r="D77" s="98" t="s">
        <v>156</v>
      </c>
      <c r="E77" s="399">
        <v>1</v>
      </c>
      <c r="F77" s="393">
        <f t="shared" si="5"/>
        <v>40</v>
      </c>
      <c r="G77" s="180">
        <f t="shared" si="0"/>
        <v>40</v>
      </c>
      <c r="H77" s="617">
        <f t="shared" ref="H77:H89" si="7">$E$21*E77</f>
        <v>30</v>
      </c>
      <c r="I77" s="617"/>
      <c r="J77" s="180">
        <f t="shared" si="2"/>
        <v>20</v>
      </c>
      <c r="K77" s="617">
        <f t="shared" si="3"/>
        <v>16</v>
      </c>
      <c r="L77" s="617"/>
      <c r="M77" s="180">
        <f t="shared" si="4"/>
        <v>52</v>
      </c>
      <c r="N77" s="145"/>
      <c r="O77" s="142"/>
      <c r="P77" s="95"/>
      <c r="Q77" s="53"/>
      <c r="R77" s="53"/>
      <c r="S77" s="30"/>
    </row>
    <row r="78" spans="2:23" x14ac:dyDescent="0.25">
      <c r="B78" s="39"/>
      <c r="C78" s="36" t="s">
        <v>147</v>
      </c>
      <c r="D78" s="98"/>
      <c r="E78" s="180"/>
      <c r="F78" s="393"/>
      <c r="G78" s="180"/>
      <c r="H78" s="617"/>
      <c r="I78" s="617"/>
      <c r="J78" s="180"/>
      <c r="K78" s="617"/>
      <c r="L78" s="617"/>
      <c r="M78" s="180"/>
      <c r="N78" s="131"/>
      <c r="O78" s="142"/>
      <c r="P78" s="95"/>
      <c r="Q78" s="53"/>
      <c r="R78" s="53"/>
      <c r="S78" s="30"/>
    </row>
    <row r="79" spans="2:23" x14ac:dyDescent="0.25">
      <c r="B79" s="39">
        <v>12</v>
      </c>
      <c r="C79" s="31" t="s">
        <v>148</v>
      </c>
      <c r="D79" s="98" t="s">
        <v>156</v>
      </c>
      <c r="E79" s="398">
        <v>1</v>
      </c>
      <c r="F79" s="393">
        <f t="shared" si="5"/>
        <v>40</v>
      </c>
      <c r="G79" s="180">
        <f t="shared" si="0"/>
        <v>40</v>
      </c>
      <c r="H79" s="617">
        <f t="shared" si="7"/>
        <v>30</v>
      </c>
      <c r="I79" s="617"/>
      <c r="J79" s="180">
        <f t="shared" si="2"/>
        <v>20</v>
      </c>
      <c r="K79" s="617">
        <f t="shared" si="3"/>
        <v>16</v>
      </c>
      <c r="L79" s="617"/>
      <c r="M79" s="180">
        <f t="shared" si="4"/>
        <v>52</v>
      </c>
      <c r="N79" s="145"/>
      <c r="O79" s="142"/>
      <c r="P79" s="95"/>
      <c r="Q79" s="53"/>
      <c r="R79" s="53"/>
      <c r="S79" s="30"/>
    </row>
    <row r="80" spans="2:23" x14ac:dyDescent="0.25">
      <c r="B80" s="39">
        <v>13</v>
      </c>
      <c r="C80" s="31" t="s">
        <v>201</v>
      </c>
      <c r="D80" s="164" t="s">
        <v>156</v>
      </c>
      <c r="E80" s="399">
        <v>3</v>
      </c>
      <c r="F80" s="393">
        <f>$E$19*E80</f>
        <v>120</v>
      </c>
      <c r="G80" s="180">
        <f>$E$20*E80</f>
        <v>120</v>
      </c>
      <c r="H80" s="617">
        <f>$E$21*E80</f>
        <v>90</v>
      </c>
      <c r="I80" s="617"/>
      <c r="J80" s="180">
        <f>$E$22*E80</f>
        <v>60</v>
      </c>
      <c r="K80" s="617">
        <f t="shared" ref="K80" si="8">$E$23*E80</f>
        <v>48</v>
      </c>
      <c r="L80" s="617"/>
      <c r="M80" s="180">
        <f>$E$24*E80</f>
        <v>156</v>
      </c>
      <c r="N80" s="145"/>
      <c r="O80" s="142"/>
      <c r="P80" s="95"/>
      <c r="Q80" s="53"/>
      <c r="R80" s="53"/>
      <c r="S80" s="30"/>
      <c r="V80" s="101"/>
      <c r="W80" s="101"/>
    </row>
    <row r="81" spans="2:19" x14ac:dyDescent="0.25">
      <c r="B81" s="39">
        <v>14</v>
      </c>
      <c r="C81" s="31" t="s">
        <v>149</v>
      </c>
      <c r="D81" s="98" t="s">
        <v>156</v>
      </c>
      <c r="E81" s="398">
        <v>1</v>
      </c>
      <c r="F81" s="393">
        <f>$E$19*E81</f>
        <v>40</v>
      </c>
      <c r="G81" s="180">
        <f>$E$20*E81</f>
        <v>40</v>
      </c>
      <c r="H81" s="617">
        <f>$E$21*E81</f>
        <v>30</v>
      </c>
      <c r="I81" s="617"/>
      <c r="J81" s="180">
        <f>$E$22*E81</f>
        <v>20</v>
      </c>
      <c r="K81" s="617">
        <f>$E$23*E81</f>
        <v>16</v>
      </c>
      <c r="L81" s="617"/>
      <c r="M81" s="180">
        <f>$E$24*E81</f>
        <v>52</v>
      </c>
      <c r="N81" s="145"/>
      <c r="O81" s="142"/>
      <c r="P81" s="95"/>
      <c r="Q81" s="53"/>
      <c r="R81" s="53"/>
      <c r="S81" s="30"/>
    </row>
    <row r="82" spans="2:19" x14ac:dyDescent="0.25">
      <c r="B82" s="39">
        <v>15</v>
      </c>
      <c r="C82" s="31" t="s">
        <v>248</v>
      </c>
      <c r="D82" s="98" t="s">
        <v>156</v>
      </c>
      <c r="E82" s="398">
        <v>3</v>
      </c>
      <c r="F82" s="393">
        <f t="shared" si="5"/>
        <v>120</v>
      </c>
      <c r="G82" s="180">
        <f t="shared" si="0"/>
        <v>120</v>
      </c>
      <c r="H82" s="617">
        <f t="shared" si="7"/>
        <v>90</v>
      </c>
      <c r="I82" s="617"/>
      <c r="J82" s="180">
        <f t="shared" si="2"/>
        <v>60</v>
      </c>
      <c r="K82" s="617">
        <f t="shared" si="3"/>
        <v>48</v>
      </c>
      <c r="L82" s="617"/>
      <c r="M82" s="180">
        <f>$E$24*E82</f>
        <v>156</v>
      </c>
      <c r="N82" s="145"/>
      <c r="O82" s="142"/>
      <c r="P82" s="95"/>
      <c r="Q82" s="53"/>
      <c r="R82" s="53"/>
      <c r="S82" s="30"/>
    </row>
    <row r="83" spans="2:19" x14ac:dyDescent="0.25">
      <c r="B83" s="39">
        <v>16</v>
      </c>
      <c r="C83" s="31" t="s">
        <v>152</v>
      </c>
      <c r="D83" s="98" t="s">
        <v>156</v>
      </c>
      <c r="E83" s="398">
        <v>1</v>
      </c>
      <c r="F83" s="393">
        <f t="shared" si="5"/>
        <v>40</v>
      </c>
      <c r="G83" s="180">
        <f t="shared" si="0"/>
        <v>40</v>
      </c>
      <c r="H83" s="617">
        <f t="shared" si="7"/>
        <v>30</v>
      </c>
      <c r="I83" s="617"/>
      <c r="J83" s="180">
        <f t="shared" si="2"/>
        <v>20</v>
      </c>
      <c r="K83" s="617">
        <f t="shared" ref="K83:K89" si="9">$E$23*E83</f>
        <v>16</v>
      </c>
      <c r="L83" s="617"/>
      <c r="M83" s="180">
        <f t="shared" si="4"/>
        <v>52</v>
      </c>
      <c r="N83" s="145"/>
      <c r="O83" s="142"/>
      <c r="P83" s="95"/>
      <c r="Q83" s="53"/>
      <c r="R83" s="53"/>
      <c r="S83" s="30"/>
    </row>
    <row r="84" spans="2:19" x14ac:dyDescent="0.25">
      <c r="B84" s="39"/>
      <c r="C84" s="36" t="s">
        <v>150</v>
      </c>
      <c r="D84" s="98"/>
      <c r="E84" s="180"/>
      <c r="F84" s="393"/>
      <c r="G84" s="180"/>
      <c r="H84" s="617"/>
      <c r="I84" s="617"/>
      <c r="J84" s="180"/>
      <c r="K84" s="617"/>
      <c r="L84" s="617"/>
      <c r="M84" s="180"/>
      <c r="N84" s="131"/>
      <c r="O84" s="142"/>
      <c r="P84" s="131"/>
      <c r="Q84" s="53"/>
      <c r="R84" s="53"/>
      <c r="S84" s="30"/>
    </row>
    <row r="85" spans="2:19" x14ac:dyDescent="0.25">
      <c r="B85" s="39">
        <v>17</v>
      </c>
      <c r="C85" s="31" t="s">
        <v>149</v>
      </c>
      <c r="D85" s="98" t="s">
        <v>156</v>
      </c>
      <c r="E85" s="398">
        <v>1</v>
      </c>
      <c r="F85" s="393">
        <f t="shared" si="5"/>
        <v>40</v>
      </c>
      <c r="G85" s="180">
        <f t="shared" si="0"/>
        <v>40</v>
      </c>
      <c r="H85" s="617">
        <f t="shared" si="7"/>
        <v>30</v>
      </c>
      <c r="I85" s="617"/>
      <c r="J85" s="180">
        <f t="shared" si="2"/>
        <v>20</v>
      </c>
      <c r="K85" s="617">
        <f t="shared" si="9"/>
        <v>16</v>
      </c>
      <c r="L85" s="617"/>
      <c r="M85" s="180">
        <f t="shared" si="4"/>
        <v>52</v>
      </c>
      <c r="N85" s="145"/>
      <c r="O85" s="142"/>
      <c r="P85" s="95"/>
      <c r="Q85" s="53"/>
      <c r="R85" s="53"/>
      <c r="S85" s="30"/>
    </row>
    <row r="86" spans="2:19" x14ac:dyDescent="0.25">
      <c r="B86" s="39">
        <v>18</v>
      </c>
      <c r="C86" s="31" t="s">
        <v>248</v>
      </c>
      <c r="D86" s="98" t="s">
        <v>156</v>
      </c>
      <c r="E86" s="398">
        <v>4</v>
      </c>
      <c r="F86" s="393">
        <f t="shared" si="5"/>
        <v>160</v>
      </c>
      <c r="G86" s="180">
        <f t="shared" si="0"/>
        <v>160</v>
      </c>
      <c r="H86" s="617">
        <f t="shared" si="7"/>
        <v>120</v>
      </c>
      <c r="I86" s="617"/>
      <c r="J86" s="180">
        <f t="shared" si="2"/>
        <v>80</v>
      </c>
      <c r="K86" s="617">
        <f t="shared" si="9"/>
        <v>64</v>
      </c>
      <c r="L86" s="617"/>
      <c r="M86" s="180">
        <f t="shared" si="4"/>
        <v>208</v>
      </c>
      <c r="N86" s="145"/>
      <c r="O86" s="142"/>
      <c r="P86" s="95"/>
      <c r="Q86" s="53"/>
      <c r="R86" s="53"/>
      <c r="S86" s="30"/>
    </row>
    <row r="87" spans="2:19" x14ac:dyDescent="0.25">
      <c r="B87" s="39">
        <v>19</v>
      </c>
      <c r="C87" s="65" t="s">
        <v>207</v>
      </c>
      <c r="D87" s="98" t="s">
        <v>156</v>
      </c>
      <c r="E87" s="398">
        <v>1</v>
      </c>
      <c r="F87" s="393">
        <f t="shared" si="5"/>
        <v>40</v>
      </c>
      <c r="G87" s="180">
        <f t="shared" si="0"/>
        <v>40</v>
      </c>
      <c r="H87" s="617">
        <f t="shared" si="7"/>
        <v>30</v>
      </c>
      <c r="I87" s="617"/>
      <c r="J87" s="180">
        <f t="shared" si="2"/>
        <v>20</v>
      </c>
      <c r="K87" s="617">
        <f t="shared" si="9"/>
        <v>16</v>
      </c>
      <c r="L87" s="617"/>
      <c r="M87" s="180">
        <f t="shared" si="4"/>
        <v>52</v>
      </c>
      <c r="N87" s="95"/>
      <c r="O87" s="142"/>
      <c r="P87" s="95"/>
      <c r="Q87" s="95"/>
      <c r="R87" s="95"/>
    </row>
    <row r="88" spans="2:19" x14ac:dyDescent="0.25">
      <c r="B88" s="39">
        <v>20</v>
      </c>
      <c r="C88" s="65" t="s">
        <v>208</v>
      </c>
      <c r="D88" s="98" t="s">
        <v>156</v>
      </c>
      <c r="E88" s="398">
        <v>1</v>
      </c>
      <c r="F88" s="393">
        <f t="shared" si="5"/>
        <v>40</v>
      </c>
      <c r="G88" s="180">
        <f t="shared" si="0"/>
        <v>40</v>
      </c>
      <c r="H88" s="617">
        <f t="shared" si="7"/>
        <v>30</v>
      </c>
      <c r="I88" s="617"/>
      <c r="J88" s="180">
        <f t="shared" si="2"/>
        <v>20</v>
      </c>
      <c r="K88" s="617">
        <f t="shared" si="9"/>
        <v>16</v>
      </c>
      <c r="L88" s="617"/>
      <c r="M88" s="180">
        <f>$E$24*E88</f>
        <v>52</v>
      </c>
      <c r="N88" s="95"/>
      <c r="O88" s="142"/>
      <c r="P88" s="95"/>
      <c r="Q88" s="95"/>
      <c r="R88" s="95"/>
    </row>
    <row r="89" spans="2:19" x14ac:dyDescent="0.25">
      <c r="B89" s="163">
        <v>21</v>
      </c>
      <c r="C89" s="133" t="s">
        <v>209</v>
      </c>
      <c r="D89" s="122" t="s">
        <v>156</v>
      </c>
      <c r="E89" s="400">
        <v>1</v>
      </c>
      <c r="F89" s="394">
        <f t="shared" si="5"/>
        <v>40</v>
      </c>
      <c r="G89" s="395">
        <f t="shared" si="0"/>
        <v>40</v>
      </c>
      <c r="H89" s="618">
        <f t="shared" si="7"/>
        <v>30</v>
      </c>
      <c r="I89" s="618"/>
      <c r="J89" s="395">
        <f t="shared" si="2"/>
        <v>20</v>
      </c>
      <c r="K89" s="618">
        <f t="shared" si="9"/>
        <v>16</v>
      </c>
      <c r="L89" s="618"/>
      <c r="M89" s="395">
        <f t="shared" si="4"/>
        <v>52</v>
      </c>
    </row>
    <row r="90" spans="2:19" ht="15" customHeight="1" x14ac:dyDescent="0.25">
      <c r="B90" s="168">
        <v>22</v>
      </c>
      <c r="C90" s="167" t="s">
        <v>225</v>
      </c>
      <c r="D90" s="111" t="s">
        <v>156</v>
      </c>
      <c r="E90" s="119"/>
      <c r="F90" s="180">
        <f>SUM(F66:F83)</f>
        <v>920</v>
      </c>
      <c r="G90" s="180">
        <f>SUM(G66:G83)</f>
        <v>920</v>
      </c>
      <c r="H90" s="616">
        <f>SUM(H66:I83)</f>
        <v>690</v>
      </c>
      <c r="I90" s="616"/>
      <c r="J90" s="180">
        <f>SUM(J66:J83)</f>
        <v>460</v>
      </c>
      <c r="K90" s="616">
        <f>SUM(K66:L83)</f>
        <v>368</v>
      </c>
      <c r="L90" s="616"/>
      <c r="M90" s="180">
        <f>SUM(M66:M83)</f>
        <v>1196</v>
      </c>
      <c r="Q90" s="30"/>
      <c r="R90" s="30"/>
      <c r="S90" s="30"/>
    </row>
    <row r="91" spans="2:19" x14ac:dyDescent="0.25">
      <c r="B91" s="168">
        <v>23</v>
      </c>
      <c r="C91" s="167" t="s">
        <v>226</v>
      </c>
      <c r="D91" s="111" t="s">
        <v>156</v>
      </c>
      <c r="E91" s="119"/>
      <c r="F91" s="180">
        <f>SUM(F85:F87)</f>
        <v>240</v>
      </c>
      <c r="G91" s="180">
        <f>SUM(G85:G87)</f>
        <v>240</v>
      </c>
      <c r="H91" s="617">
        <f>SUM(H85:I87)</f>
        <v>180</v>
      </c>
      <c r="I91" s="617">
        <f>SUM(I85:I87)</f>
        <v>0</v>
      </c>
      <c r="J91" s="180">
        <f>SUM(J85:J87)</f>
        <v>120</v>
      </c>
      <c r="K91" s="617">
        <f>SUM(K85:L87)</f>
        <v>96</v>
      </c>
      <c r="L91" s="617"/>
      <c r="M91" s="180">
        <f>SUM(M85:M87)</f>
        <v>312</v>
      </c>
      <c r="Q91" s="30"/>
      <c r="R91" s="30"/>
      <c r="S91" s="30"/>
    </row>
    <row r="92" spans="2:19" x14ac:dyDescent="0.25">
      <c r="B92" s="168">
        <v>24</v>
      </c>
      <c r="C92" s="167" t="s">
        <v>227</v>
      </c>
      <c r="D92" s="111" t="s">
        <v>156</v>
      </c>
      <c r="E92" s="119"/>
      <c r="F92" s="180">
        <f t="shared" ref="F92:K93" si="10">F88</f>
        <v>40</v>
      </c>
      <c r="G92" s="180">
        <f t="shared" si="10"/>
        <v>40</v>
      </c>
      <c r="H92" s="617">
        <f t="shared" si="10"/>
        <v>30</v>
      </c>
      <c r="I92" s="617">
        <f t="shared" si="10"/>
        <v>0</v>
      </c>
      <c r="J92" s="180">
        <f t="shared" si="10"/>
        <v>20</v>
      </c>
      <c r="K92" s="617">
        <f t="shared" si="10"/>
        <v>16</v>
      </c>
      <c r="L92" s="617"/>
      <c r="M92" s="180">
        <f>M88</f>
        <v>52</v>
      </c>
      <c r="Q92" s="30"/>
      <c r="R92" s="30"/>
      <c r="S92" s="30"/>
    </row>
    <row r="93" spans="2:19" x14ac:dyDescent="0.25">
      <c r="B93" s="168">
        <v>25</v>
      </c>
      <c r="C93" s="167" t="s">
        <v>228</v>
      </c>
      <c r="D93" s="111" t="s">
        <v>156</v>
      </c>
      <c r="E93" s="119"/>
      <c r="F93" s="180">
        <f t="shared" si="10"/>
        <v>40</v>
      </c>
      <c r="G93" s="180">
        <f t="shared" si="10"/>
        <v>40</v>
      </c>
      <c r="H93" s="617">
        <f t="shared" si="10"/>
        <v>30</v>
      </c>
      <c r="I93" s="617">
        <f t="shared" si="10"/>
        <v>0</v>
      </c>
      <c r="J93" s="180">
        <f t="shared" si="10"/>
        <v>20</v>
      </c>
      <c r="K93" s="617">
        <f t="shared" si="10"/>
        <v>16</v>
      </c>
      <c r="L93" s="617"/>
      <c r="M93" s="180">
        <f>M89</f>
        <v>52</v>
      </c>
      <c r="Q93" s="30"/>
      <c r="R93" s="30"/>
      <c r="S93" s="30"/>
    </row>
    <row r="94" spans="2:19" x14ac:dyDescent="0.25">
      <c r="B94" s="168">
        <v>26</v>
      </c>
      <c r="C94" s="167" t="s">
        <v>221</v>
      </c>
      <c r="D94" s="111" t="s">
        <v>229</v>
      </c>
      <c r="E94" s="119"/>
      <c r="F94" s="180">
        <f>F90/$E$15</f>
        <v>115</v>
      </c>
      <c r="G94" s="180">
        <f>G90/$E$15</f>
        <v>115</v>
      </c>
      <c r="H94" s="617">
        <f>H90/$E$15</f>
        <v>86.25</v>
      </c>
      <c r="I94" s="617"/>
      <c r="J94" s="180">
        <f>J90/$E$15</f>
        <v>57.5</v>
      </c>
      <c r="K94" s="617">
        <f>K90/$E$15</f>
        <v>46</v>
      </c>
      <c r="L94" s="617"/>
      <c r="M94" s="180">
        <f>M90/$E$15</f>
        <v>149.5</v>
      </c>
      <c r="Q94" s="30"/>
      <c r="R94" s="30"/>
      <c r="S94" s="30"/>
    </row>
    <row r="95" spans="2:19" x14ac:dyDescent="0.25">
      <c r="B95" s="168">
        <v>27</v>
      </c>
      <c r="C95" s="167" t="s">
        <v>222</v>
      </c>
      <c r="D95" s="111" t="s">
        <v>229</v>
      </c>
      <c r="E95" s="119"/>
      <c r="F95" s="180">
        <f t="shared" ref="F95:H97" si="11">F91/$E$15</f>
        <v>30</v>
      </c>
      <c r="G95" s="180">
        <f t="shared" si="11"/>
        <v>30</v>
      </c>
      <c r="H95" s="617">
        <f t="shared" si="11"/>
        <v>22.5</v>
      </c>
      <c r="I95" s="617"/>
      <c r="J95" s="180">
        <f t="shared" ref="J95:K97" si="12">J91/$E$15</f>
        <v>15</v>
      </c>
      <c r="K95" s="617">
        <f t="shared" si="12"/>
        <v>12</v>
      </c>
      <c r="L95" s="617"/>
      <c r="M95" s="180">
        <f t="shared" ref="M95:M97" si="13">M91/$E$15</f>
        <v>39</v>
      </c>
      <c r="Q95" s="30"/>
      <c r="R95" s="30"/>
      <c r="S95" s="30"/>
    </row>
    <row r="96" spans="2:19" x14ac:dyDescent="0.25">
      <c r="B96" s="168">
        <v>28</v>
      </c>
      <c r="C96" s="167" t="s">
        <v>223</v>
      </c>
      <c r="D96" s="111" t="s">
        <v>229</v>
      </c>
      <c r="E96" s="119"/>
      <c r="F96" s="180">
        <f>F92/$E$15</f>
        <v>5</v>
      </c>
      <c r="G96" s="180">
        <f t="shared" ref="G96:H97" si="14">G92/$E$15</f>
        <v>5</v>
      </c>
      <c r="H96" s="617">
        <f t="shared" si="14"/>
        <v>3.75</v>
      </c>
      <c r="I96" s="617"/>
      <c r="J96" s="180">
        <f t="shared" si="12"/>
        <v>2.5</v>
      </c>
      <c r="K96" s="617">
        <f t="shared" si="12"/>
        <v>2</v>
      </c>
      <c r="L96" s="617"/>
      <c r="M96" s="180">
        <f t="shared" si="13"/>
        <v>6.5</v>
      </c>
      <c r="Q96" s="30"/>
      <c r="R96" s="30"/>
      <c r="S96" s="30"/>
    </row>
    <row r="97" spans="2:23" x14ac:dyDescent="0.25">
      <c r="B97" s="163">
        <v>29</v>
      </c>
      <c r="C97" s="132" t="s">
        <v>224</v>
      </c>
      <c r="D97" s="134" t="s">
        <v>229</v>
      </c>
      <c r="E97" s="120"/>
      <c r="F97" s="395">
        <f t="shared" si="11"/>
        <v>5</v>
      </c>
      <c r="G97" s="395">
        <f t="shared" si="14"/>
        <v>5</v>
      </c>
      <c r="H97" s="618">
        <f t="shared" si="14"/>
        <v>3.75</v>
      </c>
      <c r="I97" s="618"/>
      <c r="J97" s="395">
        <f t="shared" si="12"/>
        <v>2.5</v>
      </c>
      <c r="K97" s="618">
        <f t="shared" si="12"/>
        <v>2</v>
      </c>
      <c r="L97" s="618"/>
      <c r="M97" s="395">
        <f t="shared" si="13"/>
        <v>6.5</v>
      </c>
      <c r="Q97" s="30"/>
      <c r="R97" s="30"/>
      <c r="S97" s="30"/>
    </row>
    <row r="98" spans="2:23" x14ac:dyDescent="0.25">
      <c r="B98" s="619" t="s">
        <v>250</v>
      </c>
      <c r="C98" s="619"/>
      <c r="D98" s="619"/>
      <c r="E98" s="619"/>
      <c r="F98" s="619"/>
      <c r="G98" s="619"/>
      <c r="H98" s="619"/>
      <c r="I98" s="619"/>
      <c r="J98" s="619"/>
      <c r="K98" s="619"/>
      <c r="L98" s="619"/>
      <c r="M98" s="98"/>
      <c r="N98" s="95"/>
      <c r="O98" s="142"/>
      <c r="P98" s="95"/>
      <c r="Q98" s="95"/>
      <c r="R98" s="95"/>
    </row>
    <row r="99" spans="2:23" x14ac:dyDescent="0.25">
      <c r="B99" s="639" t="s">
        <v>251</v>
      </c>
      <c r="C99" s="639"/>
      <c r="D99" s="639"/>
      <c r="E99" s="639"/>
      <c r="F99" s="639"/>
      <c r="G99" s="164"/>
      <c r="H99" s="164"/>
      <c r="I99" s="164"/>
      <c r="J99" s="164"/>
      <c r="K99" s="164"/>
      <c r="L99" s="164"/>
      <c r="M99" s="164"/>
      <c r="N99" s="95"/>
      <c r="O99" s="142"/>
      <c r="P99" s="95"/>
      <c r="Q99" s="95"/>
      <c r="R99" s="95"/>
    </row>
    <row r="100" spans="2:23" x14ac:dyDescent="0.25">
      <c r="B100" s="151" t="s">
        <v>252</v>
      </c>
      <c r="C100" s="151"/>
      <c r="D100" s="151"/>
      <c r="E100" s="151"/>
      <c r="F100" s="151"/>
      <c r="G100" s="164"/>
      <c r="H100" s="164"/>
      <c r="I100" s="164"/>
      <c r="J100" s="164"/>
      <c r="L100" s="164"/>
      <c r="M100" s="164"/>
      <c r="N100" s="95"/>
      <c r="O100" s="142"/>
      <c r="P100" s="95"/>
      <c r="Q100" s="95"/>
      <c r="R100" s="95"/>
    </row>
    <row r="101" spans="2:23" x14ac:dyDescent="0.25">
      <c r="D101" s="120"/>
      <c r="E101" s="154"/>
      <c r="F101" s="154"/>
      <c r="G101" s="164"/>
      <c r="H101" s="164"/>
      <c r="I101" s="164"/>
      <c r="J101" s="164"/>
      <c r="K101" s="164"/>
      <c r="L101" s="164"/>
      <c r="M101" s="164"/>
      <c r="N101" s="95"/>
      <c r="O101" s="142"/>
      <c r="P101" s="95"/>
      <c r="Q101" s="95"/>
      <c r="R101" s="95"/>
    </row>
    <row r="102" spans="2:23" x14ac:dyDescent="0.25">
      <c r="B102" s="539" t="s">
        <v>472</v>
      </c>
      <c r="D102" s="120"/>
      <c r="E102" s="154"/>
      <c r="F102" s="154"/>
      <c r="G102" s="164"/>
      <c r="H102" s="164"/>
      <c r="I102" s="164"/>
      <c r="J102" s="164"/>
      <c r="K102" s="164"/>
      <c r="L102" s="164"/>
      <c r="M102" s="164"/>
      <c r="N102" s="95"/>
      <c r="O102" s="142"/>
      <c r="P102" s="95"/>
      <c r="Q102" s="95"/>
      <c r="R102" s="95"/>
    </row>
    <row r="103" spans="2:23" x14ac:dyDescent="0.25">
      <c r="B103" s="32" t="s">
        <v>18</v>
      </c>
      <c r="C103" s="115" t="s">
        <v>245</v>
      </c>
      <c r="D103" s="118"/>
      <c r="E103" s="166" t="s">
        <v>246</v>
      </c>
      <c r="F103" s="166" t="s">
        <v>15</v>
      </c>
      <c r="G103" s="166" t="s">
        <v>220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23" ht="15" customHeight="1" x14ac:dyDescent="0.25">
      <c r="B104" s="39">
        <v>1</v>
      </c>
      <c r="C104" s="135" t="s">
        <v>212</v>
      </c>
      <c r="D104" s="98" t="s">
        <v>151</v>
      </c>
      <c r="E104" s="279">
        <v>1</v>
      </c>
      <c r="F104" s="280">
        <v>8</v>
      </c>
      <c r="G104" s="401">
        <f>E104*F104</f>
        <v>8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V104" s="101"/>
      <c r="W104" s="101"/>
    </row>
    <row r="105" spans="2:23" ht="15" customHeight="1" x14ac:dyDescent="0.25">
      <c r="B105" s="39">
        <v>2</v>
      </c>
      <c r="C105" s="136" t="s">
        <v>213</v>
      </c>
      <c r="D105" s="98" t="s">
        <v>151</v>
      </c>
      <c r="E105" s="281">
        <v>1</v>
      </c>
      <c r="F105" s="283">
        <f>$E$19*E105</f>
        <v>40</v>
      </c>
      <c r="G105" s="401">
        <f t="shared" ref="G105:G128" si="15">E105*F105</f>
        <v>40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V105" s="101"/>
      <c r="W105" s="101"/>
    </row>
    <row r="106" spans="2:23" x14ac:dyDescent="0.25">
      <c r="B106" s="39">
        <v>3</v>
      </c>
      <c r="C106" s="31" t="s">
        <v>214</v>
      </c>
      <c r="D106" s="98" t="s">
        <v>151</v>
      </c>
      <c r="E106" s="281">
        <v>1</v>
      </c>
      <c r="F106" s="283">
        <f t="shared" ref="F106" si="16">$E$19*E106</f>
        <v>40</v>
      </c>
      <c r="G106" s="401">
        <f t="shared" si="15"/>
        <v>40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V106" s="101"/>
      <c r="W106" s="101"/>
    </row>
    <row r="107" spans="2:23" x14ac:dyDescent="0.25">
      <c r="B107" s="39"/>
      <c r="C107" s="36" t="s">
        <v>145</v>
      </c>
      <c r="D107" s="98"/>
      <c r="E107" s="156"/>
      <c r="F107" s="165"/>
      <c r="G107" s="401"/>
      <c r="H107" s="615"/>
      <c r="I107" s="615"/>
      <c r="J107" s="156"/>
      <c r="K107" s="615"/>
      <c r="L107" s="615"/>
      <c r="M107" s="156"/>
      <c r="N107" s="131"/>
      <c r="O107" s="142"/>
      <c r="P107" s="95"/>
      <c r="Q107" s="53"/>
      <c r="R107" s="53"/>
      <c r="S107" s="30"/>
      <c r="V107" s="101"/>
      <c r="W107" s="101"/>
    </row>
    <row r="108" spans="2:23" x14ac:dyDescent="0.25">
      <c r="B108" s="39">
        <v>4</v>
      </c>
      <c r="C108" s="31" t="s">
        <v>198</v>
      </c>
      <c r="D108" s="98" t="s">
        <v>151</v>
      </c>
      <c r="E108" s="286">
        <v>1</v>
      </c>
      <c r="F108" s="283">
        <v>3</v>
      </c>
      <c r="G108" s="401">
        <f t="shared" si="15"/>
        <v>3</v>
      </c>
      <c r="H108" s="615"/>
      <c r="I108" s="615"/>
      <c r="J108" s="156"/>
      <c r="K108" s="615"/>
      <c r="L108" s="615"/>
      <c r="M108" s="156"/>
      <c r="N108" s="145"/>
      <c r="O108" s="142"/>
      <c r="P108" s="95"/>
      <c r="Q108" s="53"/>
      <c r="R108" s="53"/>
      <c r="S108" s="30"/>
      <c r="V108" s="101"/>
      <c r="W108" s="101"/>
    </row>
    <row r="109" spans="2:23" x14ac:dyDescent="0.25">
      <c r="B109" s="39">
        <v>5</v>
      </c>
      <c r="C109" s="31" t="s">
        <v>249</v>
      </c>
      <c r="D109" s="98" t="s">
        <v>151</v>
      </c>
      <c r="E109" s="286">
        <v>2</v>
      </c>
      <c r="F109" s="282">
        <v>1</v>
      </c>
      <c r="G109" s="401">
        <f t="shared" si="15"/>
        <v>2</v>
      </c>
      <c r="H109" s="615"/>
      <c r="I109" s="615"/>
      <c r="J109" s="30"/>
      <c r="K109" s="615"/>
      <c r="L109" s="615"/>
      <c r="M109" s="156"/>
      <c r="N109" s="145"/>
      <c r="O109" s="142"/>
      <c r="P109" s="95"/>
      <c r="Q109" s="53"/>
      <c r="R109" s="53"/>
      <c r="S109" s="30"/>
      <c r="V109" s="101"/>
      <c r="W109" s="101"/>
    </row>
    <row r="110" spans="2:23" x14ac:dyDescent="0.25">
      <c r="B110" s="39">
        <v>6</v>
      </c>
      <c r="C110" s="31" t="s">
        <v>69</v>
      </c>
      <c r="D110" s="98" t="s">
        <v>151</v>
      </c>
      <c r="E110" s="286">
        <v>1</v>
      </c>
      <c r="F110" s="283">
        <v>1.5</v>
      </c>
      <c r="G110" s="401">
        <f>E110*F110</f>
        <v>1.5</v>
      </c>
      <c r="H110" s="615"/>
      <c r="I110" s="615"/>
      <c r="J110" s="156"/>
      <c r="K110" s="615"/>
      <c r="L110" s="615"/>
      <c r="M110" s="156"/>
      <c r="N110" s="145"/>
      <c r="O110" s="142"/>
      <c r="P110" s="95"/>
      <c r="Q110" s="53"/>
      <c r="R110" s="53"/>
      <c r="S110" s="30"/>
      <c r="V110" s="101"/>
      <c r="W110" s="101"/>
    </row>
    <row r="111" spans="2:23" x14ac:dyDescent="0.25">
      <c r="B111" s="39">
        <v>7</v>
      </c>
      <c r="C111" s="30" t="s">
        <v>197</v>
      </c>
      <c r="D111" s="98" t="s">
        <v>151</v>
      </c>
      <c r="E111" s="286">
        <v>1</v>
      </c>
      <c r="F111" s="283">
        <v>3</v>
      </c>
      <c r="G111" s="401">
        <f t="shared" si="15"/>
        <v>3</v>
      </c>
      <c r="H111" s="615"/>
      <c r="I111" s="615"/>
      <c r="J111" s="30"/>
      <c r="K111" s="615"/>
      <c r="L111" s="615"/>
      <c r="M111" s="156"/>
      <c r="N111" s="145"/>
      <c r="O111" s="142"/>
      <c r="P111" s="95"/>
      <c r="Q111" s="53"/>
      <c r="R111" s="53"/>
      <c r="S111" s="30"/>
      <c r="V111" s="101"/>
      <c r="W111" s="101"/>
    </row>
    <row r="112" spans="2:23" x14ac:dyDescent="0.25">
      <c r="B112" s="39">
        <v>8</v>
      </c>
      <c r="C112" s="31" t="s">
        <v>63</v>
      </c>
      <c r="D112" s="98" t="s">
        <v>151</v>
      </c>
      <c r="E112" s="286">
        <v>1</v>
      </c>
      <c r="F112" s="282">
        <v>8</v>
      </c>
      <c r="G112" s="401">
        <f t="shared" si="15"/>
        <v>8</v>
      </c>
      <c r="H112" s="615"/>
      <c r="I112" s="615"/>
      <c r="J112" s="30"/>
      <c r="K112" s="615"/>
      <c r="L112" s="615"/>
      <c r="M112" s="156"/>
      <c r="N112" s="145"/>
      <c r="O112" s="142"/>
      <c r="P112" s="95"/>
      <c r="Q112" s="53"/>
      <c r="R112" s="53"/>
      <c r="S112" s="30"/>
      <c r="V112" s="101"/>
      <c r="W112" s="101"/>
    </row>
    <row r="113" spans="2:23" x14ac:dyDescent="0.25">
      <c r="B113" s="39"/>
      <c r="C113" s="31" t="s">
        <v>199</v>
      </c>
      <c r="D113" s="98" t="s">
        <v>151</v>
      </c>
      <c r="E113" s="286">
        <v>1</v>
      </c>
      <c r="F113" s="283">
        <v>3</v>
      </c>
      <c r="G113" s="401">
        <f t="shared" si="15"/>
        <v>3</v>
      </c>
      <c r="H113" s="156"/>
      <c r="I113" s="156"/>
      <c r="J113" s="30"/>
      <c r="K113" s="156"/>
      <c r="L113" s="156"/>
      <c r="M113" s="156"/>
      <c r="N113" s="145"/>
      <c r="O113" s="142"/>
      <c r="P113" s="95"/>
      <c r="Q113" s="53"/>
      <c r="R113" s="53"/>
      <c r="S113" s="30"/>
      <c r="V113" s="101"/>
      <c r="W113" s="101"/>
    </row>
    <row r="114" spans="2:23" x14ac:dyDescent="0.25">
      <c r="B114" s="39">
        <v>9</v>
      </c>
      <c r="C114" s="31" t="s">
        <v>215</v>
      </c>
      <c r="D114" s="98" t="s">
        <v>151</v>
      </c>
      <c r="E114" s="287">
        <v>1</v>
      </c>
      <c r="F114" s="282">
        <v>16</v>
      </c>
      <c r="G114" s="401">
        <f t="shared" si="15"/>
        <v>16</v>
      </c>
      <c r="H114" s="615"/>
      <c r="I114" s="615"/>
      <c r="J114" s="30"/>
      <c r="K114" s="615"/>
      <c r="L114" s="615"/>
      <c r="M114" s="156"/>
      <c r="N114" s="145"/>
      <c r="O114" s="142"/>
      <c r="P114" s="95"/>
      <c r="Q114" s="53"/>
      <c r="R114" s="53"/>
      <c r="S114" s="30"/>
      <c r="V114" s="101"/>
      <c r="W114" s="101"/>
    </row>
    <row r="115" spans="2:23" x14ac:dyDescent="0.25">
      <c r="B115" s="39">
        <v>10</v>
      </c>
      <c r="C115" s="30" t="s">
        <v>202</v>
      </c>
      <c r="D115" s="98" t="s">
        <v>151</v>
      </c>
      <c r="E115" s="287">
        <v>3</v>
      </c>
      <c r="F115" s="282">
        <v>9</v>
      </c>
      <c r="G115" s="401">
        <f t="shared" si="15"/>
        <v>27</v>
      </c>
      <c r="H115" s="615"/>
      <c r="I115" s="615"/>
      <c r="J115" s="30"/>
      <c r="K115" s="615"/>
      <c r="L115" s="615"/>
      <c r="M115" s="156"/>
      <c r="N115" s="145"/>
      <c r="O115" s="142"/>
      <c r="P115" s="95"/>
      <c r="Q115" s="53"/>
      <c r="R115" s="53"/>
      <c r="S115" s="30"/>
      <c r="V115" s="101"/>
      <c r="W115" s="101"/>
    </row>
    <row r="116" spans="2:23" x14ac:dyDescent="0.25">
      <c r="B116" s="39">
        <v>11</v>
      </c>
      <c r="C116" s="31" t="s">
        <v>238</v>
      </c>
      <c r="D116" s="98" t="s">
        <v>151</v>
      </c>
      <c r="E116" s="287">
        <v>1</v>
      </c>
      <c r="F116" s="283">
        <v>8</v>
      </c>
      <c r="G116" s="401">
        <f t="shared" si="15"/>
        <v>8</v>
      </c>
      <c r="H116" s="615"/>
      <c r="I116" s="615"/>
      <c r="J116" s="30"/>
      <c r="K116" s="615"/>
      <c r="L116" s="615"/>
      <c r="M116" s="156"/>
      <c r="N116" s="145"/>
      <c r="O116" s="142"/>
      <c r="P116" s="95"/>
      <c r="Q116" s="53"/>
      <c r="R116" s="53"/>
      <c r="S116" s="30"/>
    </row>
    <row r="117" spans="2:23" x14ac:dyDescent="0.25">
      <c r="B117" s="39"/>
      <c r="C117" s="36" t="s">
        <v>147</v>
      </c>
      <c r="D117" s="98"/>
      <c r="E117" s="156"/>
      <c r="F117" s="165"/>
      <c r="G117" s="401"/>
      <c r="H117" s="615"/>
      <c r="I117" s="615"/>
      <c r="J117" s="30"/>
      <c r="K117" s="615"/>
      <c r="L117" s="615"/>
      <c r="M117" s="156"/>
      <c r="N117" s="131"/>
      <c r="O117" s="142"/>
      <c r="P117" s="95"/>
      <c r="Q117" s="53"/>
      <c r="R117" s="53"/>
      <c r="S117" s="30"/>
    </row>
    <row r="118" spans="2:23" x14ac:dyDescent="0.25">
      <c r="B118" s="39">
        <v>12</v>
      </c>
      <c r="C118" s="31" t="s">
        <v>148</v>
      </c>
      <c r="D118" s="98" t="s">
        <v>151</v>
      </c>
      <c r="E118" s="286">
        <v>1</v>
      </c>
      <c r="F118" s="282">
        <v>2</v>
      </c>
      <c r="G118" s="401">
        <f t="shared" si="15"/>
        <v>2</v>
      </c>
      <c r="H118" s="615"/>
      <c r="I118" s="615"/>
      <c r="J118" s="30"/>
      <c r="K118" s="615"/>
      <c r="L118" s="615"/>
      <c r="M118" s="156"/>
      <c r="N118" s="145"/>
      <c r="O118" s="142"/>
      <c r="P118" s="95"/>
      <c r="Q118" s="53"/>
      <c r="R118" s="53"/>
      <c r="S118" s="30"/>
    </row>
    <row r="119" spans="2:23" x14ac:dyDescent="0.25">
      <c r="B119" s="39">
        <v>13</v>
      </c>
      <c r="C119" s="31" t="s">
        <v>201</v>
      </c>
      <c r="D119" s="164" t="s">
        <v>151</v>
      </c>
      <c r="E119" s="286">
        <v>3</v>
      </c>
      <c r="F119" s="283">
        <v>3</v>
      </c>
      <c r="G119" s="401">
        <f t="shared" si="15"/>
        <v>9</v>
      </c>
      <c r="H119" s="160"/>
      <c r="I119" s="160"/>
      <c r="J119" s="30"/>
      <c r="K119" s="160"/>
      <c r="L119" s="160"/>
      <c r="M119" s="160"/>
      <c r="N119" s="145"/>
      <c r="O119" s="142"/>
      <c r="P119" s="95"/>
      <c r="Q119" s="53"/>
      <c r="R119" s="53"/>
      <c r="S119" s="30"/>
    </row>
    <row r="120" spans="2:23" x14ac:dyDescent="0.25">
      <c r="B120" s="39">
        <v>14</v>
      </c>
      <c r="C120" s="31" t="s">
        <v>149</v>
      </c>
      <c r="D120" s="98" t="s">
        <v>151</v>
      </c>
      <c r="E120" s="286">
        <v>1</v>
      </c>
      <c r="F120" s="283">
        <v>1</v>
      </c>
      <c r="G120" s="401">
        <f>E120*F120</f>
        <v>1</v>
      </c>
      <c r="H120" s="615"/>
      <c r="I120" s="615"/>
      <c r="J120" s="30"/>
      <c r="K120" s="615"/>
      <c r="L120" s="615"/>
      <c r="M120" s="156"/>
      <c r="N120" s="145"/>
      <c r="O120" s="142"/>
      <c r="P120" s="95"/>
      <c r="Q120" s="53"/>
      <c r="R120" s="53"/>
      <c r="S120" s="30"/>
    </row>
    <row r="121" spans="2:23" x14ac:dyDescent="0.25">
      <c r="B121" s="39">
        <v>15</v>
      </c>
      <c r="C121" s="31" t="s">
        <v>248</v>
      </c>
      <c r="D121" s="98" t="s">
        <v>151</v>
      </c>
      <c r="E121" s="286">
        <v>3</v>
      </c>
      <c r="F121" s="283">
        <v>16</v>
      </c>
      <c r="G121" s="401">
        <f t="shared" si="15"/>
        <v>48</v>
      </c>
      <c r="H121" s="615"/>
      <c r="I121" s="615"/>
      <c r="J121" s="30"/>
      <c r="K121" s="615"/>
      <c r="L121" s="615"/>
      <c r="M121" s="156"/>
      <c r="N121" s="145"/>
      <c r="O121" s="142"/>
      <c r="P121" s="95"/>
      <c r="Q121" s="53"/>
      <c r="R121" s="53"/>
      <c r="S121" s="30"/>
    </row>
    <row r="122" spans="2:23" x14ac:dyDescent="0.25">
      <c r="B122" s="39">
        <v>16</v>
      </c>
      <c r="C122" s="31" t="s">
        <v>152</v>
      </c>
      <c r="D122" s="98" t="s">
        <v>151</v>
      </c>
      <c r="E122" s="286">
        <v>1</v>
      </c>
      <c r="F122" s="282">
        <v>8</v>
      </c>
      <c r="G122" s="401">
        <f t="shared" si="15"/>
        <v>8</v>
      </c>
      <c r="H122" s="615"/>
      <c r="I122" s="615"/>
      <c r="J122" s="156"/>
      <c r="K122" s="615"/>
      <c r="L122" s="615"/>
      <c r="M122" s="156"/>
      <c r="N122" s="145"/>
      <c r="O122" s="142"/>
      <c r="P122" s="95"/>
      <c r="Q122" s="53"/>
      <c r="R122" s="53"/>
      <c r="S122" s="30"/>
    </row>
    <row r="123" spans="2:23" x14ac:dyDescent="0.25">
      <c r="B123" s="39"/>
      <c r="C123" s="36" t="s">
        <v>150</v>
      </c>
      <c r="D123" s="98"/>
      <c r="E123" s="156"/>
      <c r="F123" s="165"/>
      <c r="G123" s="401"/>
      <c r="H123" s="615"/>
      <c r="I123" s="615"/>
      <c r="J123" s="156"/>
      <c r="K123" s="615"/>
      <c r="L123" s="615"/>
      <c r="M123" s="156"/>
      <c r="N123" s="131"/>
      <c r="O123" s="142"/>
      <c r="P123" s="131"/>
      <c r="Q123" s="53"/>
      <c r="R123" s="53"/>
      <c r="S123" s="30"/>
    </row>
    <row r="124" spans="2:23" x14ac:dyDescent="0.25">
      <c r="B124" s="39">
        <v>17</v>
      </c>
      <c r="C124" s="31" t="s">
        <v>149</v>
      </c>
      <c r="D124" s="98" t="s">
        <v>151</v>
      </c>
      <c r="E124" s="286">
        <v>1</v>
      </c>
      <c r="F124" s="283">
        <v>1</v>
      </c>
      <c r="G124" s="401">
        <f t="shared" si="15"/>
        <v>1</v>
      </c>
      <c r="H124" s="615"/>
      <c r="I124" s="615"/>
      <c r="J124" s="156"/>
      <c r="K124" s="615"/>
      <c r="L124" s="615"/>
      <c r="M124" s="156"/>
      <c r="N124" s="145"/>
      <c r="O124" s="142"/>
      <c r="P124" s="95"/>
      <c r="Q124" s="53"/>
      <c r="R124" s="53"/>
      <c r="S124" s="30"/>
    </row>
    <row r="125" spans="2:23" x14ac:dyDescent="0.25">
      <c r="B125" s="39">
        <v>18</v>
      </c>
      <c r="C125" s="31" t="s">
        <v>248</v>
      </c>
      <c r="D125" s="98" t="s">
        <v>151</v>
      </c>
      <c r="E125" s="286">
        <v>4</v>
      </c>
      <c r="F125" s="283">
        <v>16</v>
      </c>
      <c r="G125" s="401">
        <f t="shared" si="15"/>
        <v>64</v>
      </c>
      <c r="H125" s="615"/>
      <c r="I125" s="615"/>
      <c r="J125" s="156"/>
      <c r="K125" s="615"/>
      <c r="L125" s="615"/>
      <c r="M125" s="156"/>
      <c r="N125" s="145"/>
      <c r="O125" s="142"/>
      <c r="P125" s="95"/>
      <c r="Q125" s="53"/>
      <c r="R125" s="53"/>
      <c r="S125" s="30"/>
    </row>
    <row r="126" spans="2:23" x14ac:dyDescent="0.25">
      <c r="B126" s="39">
        <v>19</v>
      </c>
      <c r="C126" s="65" t="s">
        <v>216</v>
      </c>
      <c r="D126" s="98" t="s">
        <v>151</v>
      </c>
      <c r="E126" s="286">
        <v>1</v>
      </c>
      <c r="F126" s="283">
        <v>40</v>
      </c>
      <c r="G126" s="401">
        <f t="shared" si="15"/>
        <v>40</v>
      </c>
      <c r="H126" s="615"/>
      <c r="I126" s="615"/>
      <c r="J126" s="156"/>
      <c r="K126" s="615"/>
      <c r="L126" s="615"/>
      <c r="M126" s="156"/>
      <c r="N126" s="95"/>
      <c r="O126" s="142"/>
      <c r="P126" s="95"/>
      <c r="Q126" s="95"/>
      <c r="R126" s="95"/>
    </row>
    <row r="127" spans="2:23" x14ac:dyDescent="0.25">
      <c r="B127" s="39">
        <v>20</v>
      </c>
      <c r="C127" s="65" t="s">
        <v>217</v>
      </c>
      <c r="D127" s="98" t="s">
        <v>151</v>
      </c>
      <c r="E127" s="286">
        <v>1</v>
      </c>
      <c r="F127" s="283">
        <v>40</v>
      </c>
      <c r="G127" s="401">
        <f t="shared" si="15"/>
        <v>40</v>
      </c>
      <c r="H127" s="615"/>
      <c r="I127" s="615"/>
      <c r="J127" s="156"/>
      <c r="K127" s="615"/>
      <c r="L127" s="615"/>
      <c r="M127" s="156"/>
      <c r="N127" s="95"/>
      <c r="O127" s="142"/>
      <c r="P127" s="95"/>
      <c r="Q127" s="95"/>
      <c r="R127" s="95"/>
    </row>
    <row r="128" spans="2:23" x14ac:dyDescent="0.25">
      <c r="B128" s="168">
        <v>21</v>
      </c>
      <c r="C128" s="222" t="s">
        <v>218</v>
      </c>
      <c r="D128" s="98" t="s">
        <v>151</v>
      </c>
      <c r="E128" s="286">
        <v>1</v>
      </c>
      <c r="F128" s="283">
        <v>40</v>
      </c>
      <c r="G128" s="343">
        <f t="shared" si="15"/>
        <v>40</v>
      </c>
      <c r="H128" s="615"/>
      <c r="I128" s="615"/>
      <c r="J128" s="156"/>
      <c r="K128" s="615"/>
      <c r="L128" s="615"/>
      <c r="M128" s="156"/>
    </row>
    <row r="129" spans="2:19" s="53" customFormat="1" x14ac:dyDescent="0.25">
      <c r="B129" s="59"/>
      <c r="C129" s="54"/>
      <c r="D129" s="221"/>
      <c r="E129" s="250" t="s">
        <v>319</v>
      </c>
      <c r="F129" s="251" t="s">
        <v>20</v>
      </c>
      <c r="G129" s="228"/>
      <c r="H129" s="220"/>
      <c r="I129" s="220"/>
      <c r="J129" s="220"/>
      <c r="K129" s="220"/>
      <c r="L129" s="220"/>
      <c r="M129" s="220"/>
      <c r="N129" s="95"/>
      <c r="O129" s="142"/>
      <c r="P129" s="95"/>
      <c r="Q129" s="95"/>
      <c r="R129" s="95"/>
      <c r="S129" s="95"/>
    </row>
    <row r="130" spans="2:19" x14ac:dyDescent="0.25">
      <c r="B130" s="39">
        <v>22</v>
      </c>
      <c r="C130" s="169" t="s">
        <v>232</v>
      </c>
      <c r="D130" s="164" t="s">
        <v>151</v>
      </c>
      <c r="E130" s="402">
        <f>SUM(G108,G110,G109,G111,G112,G113,G114,G115,G118,G121,G120,G122,G119)</f>
        <v>131.5</v>
      </c>
      <c r="F130" s="403">
        <f>$B$143*E130</f>
        <v>58793305.243445687</v>
      </c>
      <c r="H130" s="157"/>
      <c r="I130" s="157"/>
      <c r="J130" s="157"/>
      <c r="K130" s="157"/>
      <c r="L130" s="157"/>
      <c r="M130" s="157"/>
      <c r="Q130" s="30"/>
      <c r="R130" s="30"/>
      <c r="S130" s="30"/>
    </row>
    <row r="131" spans="2:19" x14ac:dyDescent="0.25">
      <c r="B131" s="39">
        <v>23</v>
      </c>
      <c r="C131" s="169" t="s">
        <v>237</v>
      </c>
      <c r="D131" s="98" t="s">
        <v>151</v>
      </c>
      <c r="E131" s="404">
        <f>SUM(G124,G125)</f>
        <v>65</v>
      </c>
      <c r="F131" s="405">
        <f t="shared" ref="F131:F135" si="17">$B$143*E131</f>
        <v>29061329.588014979</v>
      </c>
      <c r="H131" s="157"/>
      <c r="I131" s="157"/>
      <c r="J131" s="157"/>
      <c r="K131" s="157"/>
      <c r="L131" s="157"/>
      <c r="M131" s="157"/>
      <c r="Q131" s="30"/>
      <c r="R131" s="30"/>
      <c r="S131" s="30"/>
    </row>
    <row r="132" spans="2:19" x14ac:dyDescent="0.25">
      <c r="B132" s="168">
        <v>24</v>
      </c>
      <c r="C132" s="167" t="s">
        <v>233</v>
      </c>
      <c r="D132" s="98" t="s">
        <v>151</v>
      </c>
      <c r="E132" s="180">
        <f>SUM(G104,G105,G106,G116)</f>
        <v>96</v>
      </c>
      <c r="F132" s="405">
        <f t="shared" si="17"/>
        <v>42921348.314606741</v>
      </c>
      <c r="H132" s="157"/>
      <c r="I132" s="157"/>
      <c r="J132" s="157"/>
      <c r="K132" s="157"/>
      <c r="L132" s="157"/>
      <c r="M132" s="157"/>
      <c r="Q132" s="30"/>
      <c r="R132" s="30"/>
      <c r="S132" s="30"/>
    </row>
    <row r="133" spans="2:19" x14ac:dyDescent="0.25">
      <c r="B133" s="168">
        <v>25</v>
      </c>
      <c r="C133" s="167" t="s">
        <v>234</v>
      </c>
      <c r="D133" s="98" t="s">
        <v>151</v>
      </c>
      <c r="E133" s="180">
        <f>G126</f>
        <v>40</v>
      </c>
      <c r="F133" s="405">
        <f t="shared" si="17"/>
        <v>17883895.131086141</v>
      </c>
      <c r="H133" s="157"/>
      <c r="I133" s="157"/>
      <c r="J133" s="157"/>
      <c r="K133" s="157"/>
      <c r="L133" s="157"/>
      <c r="M133" s="157"/>
      <c r="Q133" s="30"/>
      <c r="R133" s="30"/>
      <c r="S133" s="30"/>
    </row>
    <row r="134" spans="2:19" x14ac:dyDescent="0.25">
      <c r="B134" s="168">
        <v>26</v>
      </c>
      <c r="C134" s="167" t="s">
        <v>235</v>
      </c>
      <c r="D134" s="98" t="s">
        <v>151</v>
      </c>
      <c r="E134" s="180">
        <f>G127</f>
        <v>40</v>
      </c>
      <c r="F134" s="405">
        <f t="shared" si="17"/>
        <v>17883895.131086141</v>
      </c>
      <c r="H134" s="157"/>
      <c r="I134" s="157"/>
      <c r="J134" s="157"/>
      <c r="K134" s="157"/>
      <c r="L134" s="157"/>
      <c r="M134" s="157"/>
      <c r="Q134" s="30"/>
      <c r="R134" s="30"/>
      <c r="S134" s="30"/>
    </row>
    <row r="135" spans="2:19" x14ac:dyDescent="0.25">
      <c r="B135" s="163">
        <v>27</v>
      </c>
      <c r="C135" s="132" t="s">
        <v>236</v>
      </c>
      <c r="D135" s="122" t="s">
        <v>151</v>
      </c>
      <c r="E135" s="395">
        <f>G128</f>
        <v>40</v>
      </c>
      <c r="F135" s="406">
        <f t="shared" si="17"/>
        <v>17883895.131086141</v>
      </c>
      <c r="H135" s="157"/>
      <c r="I135" s="157"/>
      <c r="J135" s="157"/>
      <c r="K135" s="157"/>
      <c r="L135" s="157"/>
      <c r="M135" s="157"/>
      <c r="Q135" s="30"/>
      <c r="R135" s="30"/>
      <c r="S135" s="30"/>
    </row>
    <row r="136" spans="2:19" x14ac:dyDescent="0.25">
      <c r="B136" s="53" t="s">
        <v>219</v>
      </c>
      <c r="C136" s="53"/>
      <c r="D136" s="53"/>
      <c r="E136" s="53"/>
      <c r="F136" s="53"/>
      <c r="G136" s="53"/>
      <c r="H136" s="53"/>
      <c r="I136" s="142"/>
      <c r="J136" s="95"/>
      <c r="K136" s="53"/>
      <c r="L136" s="53"/>
      <c r="M136" s="30"/>
      <c r="Q136" s="30"/>
      <c r="R136" s="30"/>
      <c r="S136" s="30"/>
    </row>
    <row r="137" spans="2:19" x14ac:dyDescent="0.25">
      <c r="B137" s="576" t="s">
        <v>243</v>
      </c>
      <c r="C137" s="576"/>
      <c r="D137" s="576"/>
      <c r="E137" s="576"/>
      <c r="F137" s="576"/>
      <c r="G137" s="576"/>
      <c r="H137" s="576"/>
      <c r="I137" s="576"/>
      <c r="J137" s="576"/>
      <c r="K137" s="576"/>
      <c r="L137" s="576"/>
      <c r="M137" s="30"/>
      <c r="Q137" s="30"/>
      <c r="R137" s="30"/>
      <c r="S137" s="30"/>
    </row>
    <row r="138" spans="2:19" x14ac:dyDescent="0.25">
      <c r="B138" s="576" t="s">
        <v>244</v>
      </c>
      <c r="C138" s="576"/>
      <c r="D138" s="576"/>
      <c r="E138" s="576"/>
      <c r="F138" s="576"/>
      <c r="G138" s="576"/>
      <c r="H138" s="576"/>
      <c r="I138" s="576"/>
      <c r="J138" s="576"/>
      <c r="K138" s="576"/>
      <c r="L138" s="576"/>
      <c r="M138" s="576"/>
      <c r="Q138" s="30"/>
      <c r="R138" s="30"/>
      <c r="S138" s="30"/>
    </row>
    <row r="139" spans="2:19" x14ac:dyDescent="0.25">
      <c r="B139" s="576"/>
      <c r="C139" s="576"/>
      <c r="D139" s="576"/>
      <c r="E139" s="576"/>
      <c r="F139" s="576"/>
      <c r="G139" s="576"/>
      <c r="H139" s="576"/>
      <c r="I139" s="576"/>
      <c r="J139" s="576"/>
      <c r="K139" s="576"/>
      <c r="L139" s="576"/>
      <c r="M139" s="576"/>
      <c r="Q139" s="30"/>
      <c r="R139" s="30"/>
      <c r="S139" s="30"/>
    </row>
    <row r="140" spans="2:19" x14ac:dyDescent="0.25">
      <c r="B140" s="538" t="s">
        <v>473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Q140" s="30"/>
      <c r="R140" s="30"/>
      <c r="S140" s="30"/>
    </row>
    <row r="141" spans="2:19" x14ac:dyDescent="0.25">
      <c r="B141" s="577" t="s">
        <v>316</v>
      </c>
      <c r="C141" s="578"/>
      <c r="D141" s="578"/>
      <c r="E141" s="219"/>
      <c r="F141" s="219"/>
      <c r="G141" s="219"/>
      <c r="H141" s="219"/>
      <c r="I141" s="219"/>
      <c r="J141" s="219"/>
      <c r="K141" s="219"/>
      <c r="L141" s="219"/>
      <c r="M141" s="219"/>
      <c r="Q141" s="30"/>
      <c r="R141" s="30"/>
      <c r="S141" s="30"/>
    </row>
    <row r="142" spans="2:19" x14ac:dyDescent="0.25">
      <c r="B142" s="338">
        <v>3820000000</v>
      </c>
      <c r="C142" s="541" t="s">
        <v>317</v>
      </c>
      <c r="D142" s="536"/>
      <c r="F142" s="157"/>
      <c r="G142" s="157"/>
      <c r="H142" s="157"/>
      <c r="I142" s="157"/>
      <c r="J142" s="157"/>
      <c r="K142" s="157"/>
      <c r="L142" s="157"/>
      <c r="M142" s="157"/>
      <c r="Q142" s="30"/>
      <c r="R142" s="30"/>
      <c r="S142" s="30"/>
    </row>
    <row r="143" spans="2:19" x14ac:dyDescent="0.25">
      <c r="B143" s="248">
        <f>B142/(356*24)</f>
        <v>447097.37827715353</v>
      </c>
      <c r="C143" s="187" t="s">
        <v>318</v>
      </c>
      <c r="D143" s="537"/>
      <c r="F143" s="157"/>
      <c r="G143" s="157"/>
      <c r="H143" s="157"/>
      <c r="I143" s="157"/>
      <c r="J143" s="157"/>
      <c r="K143" s="157"/>
      <c r="L143" s="157"/>
      <c r="M143" s="157"/>
      <c r="Q143" s="30"/>
      <c r="R143" s="30"/>
      <c r="S143" s="30"/>
    </row>
    <row r="144" spans="2:19" x14ac:dyDescent="0.25">
      <c r="D144" s="158"/>
      <c r="F144" s="157"/>
      <c r="G144" s="157"/>
      <c r="H144" s="157"/>
      <c r="I144" s="157"/>
      <c r="J144" s="157"/>
      <c r="K144" s="157"/>
      <c r="L144" s="157"/>
      <c r="M144" s="157"/>
      <c r="Q144" s="30"/>
      <c r="R144" s="30"/>
      <c r="S144" s="30"/>
    </row>
    <row r="145" spans="2:19" x14ac:dyDescent="0.25">
      <c r="B145" s="577" t="s">
        <v>368</v>
      </c>
      <c r="C145" s="578"/>
      <c r="D145" s="578"/>
      <c r="E145" s="242"/>
      <c r="F145" s="242"/>
      <c r="G145" s="242"/>
      <c r="H145" s="242"/>
      <c r="I145" s="242"/>
      <c r="J145" s="242"/>
      <c r="K145" s="242"/>
      <c r="L145" s="242"/>
      <c r="M145" s="242"/>
      <c r="Q145" s="30"/>
      <c r="R145" s="30"/>
      <c r="S145" s="30"/>
    </row>
    <row r="146" spans="2:19" x14ac:dyDescent="0.25">
      <c r="B146" s="341">
        <v>0.75</v>
      </c>
      <c r="C146" s="339" t="s">
        <v>369</v>
      </c>
      <c r="D146" s="540"/>
      <c r="F146" s="157"/>
      <c r="G146" s="157"/>
      <c r="H146" s="157"/>
      <c r="I146" s="157"/>
      <c r="J146" s="157"/>
      <c r="K146" s="157"/>
      <c r="L146" s="157"/>
      <c r="M146" s="157"/>
      <c r="Q146" s="30"/>
      <c r="R146" s="30"/>
      <c r="S146" s="30"/>
    </row>
    <row r="147" spans="2:19" x14ac:dyDescent="0.25">
      <c r="B147" s="254"/>
      <c r="C147" s="144"/>
      <c r="D147" s="158"/>
      <c r="F147" s="157"/>
      <c r="G147" s="157"/>
      <c r="H147" s="157"/>
      <c r="I147" s="157"/>
      <c r="J147" s="157"/>
      <c r="K147" s="157"/>
      <c r="L147" s="157"/>
      <c r="M147" s="157"/>
      <c r="Q147" s="30"/>
      <c r="R147" s="30"/>
      <c r="S147" s="30"/>
    </row>
    <row r="148" spans="2:19" x14ac:dyDescent="0.25">
      <c r="B148" s="577" t="s">
        <v>370</v>
      </c>
      <c r="C148" s="578"/>
      <c r="D148" s="578"/>
      <c r="E148" s="242"/>
      <c r="F148" s="242"/>
      <c r="G148" s="242"/>
      <c r="H148" s="242"/>
      <c r="I148" s="242"/>
      <c r="J148" s="242"/>
      <c r="K148" s="242"/>
      <c r="L148" s="242"/>
      <c r="M148" s="242"/>
      <c r="Q148" s="30"/>
      <c r="R148" s="30"/>
      <c r="S148" s="30"/>
    </row>
    <row r="149" spans="2:19" x14ac:dyDescent="0.25">
      <c r="B149" s="579">
        <v>4940</v>
      </c>
      <c r="C149" s="187" t="s">
        <v>371</v>
      </c>
      <c r="D149" s="540"/>
      <c r="F149" s="157"/>
      <c r="G149" s="157"/>
      <c r="H149" s="157"/>
      <c r="I149" s="157"/>
      <c r="J149" s="157"/>
      <c r="K149" s="157"/>
      <c r="L149" s="157"/>
      <c r="M149" s="157"/>
      <c r="Q149" s="30"/>
      <c r="R149" s="30"/>
      <c r="S149" s="30"/>
    </row>
    <row r="150" spans="2:19" x14ac:dyDescent="0.25">
      <c r="B150" s="337"/>
      <c r="C150" s="144"/>
      <c r="D150" s="158"/>
      <c r="F150" s="157"/>
      <c r="G150" s="157"/>
      <c r="H150" s="157"/>
      <c r="I150" s="157"/>
      <c r="J150" s="157"/>
      <c r="K150" s="157"/>
      <c r="L150" s="157"/>
      <c r="M150" s="157"/>
      <c r="Q150" s="30"/>
      <c r="R150" s="30"/>
      <c r="S150" s="30"/>
    </row>
    <row r="151" spans="2:19" x14ac:dyDescent="0.25">
      <c r="B151" s="538" t="s">
        <v>475</v>
      </c>
      <c r="C151" s="144"/>
      <c r="D151" s="158"/>
      <c r="F151" s="157"/>
      <c r="G151" s="157"/>
      <c r="H151" s="157"/>
      <c r="I151" s="157"/>
      <c r="J151" s="157"/>
      <c r="K151" s="157"/>
      <c r="L151" s="157"/>
      <c r="M151" s="157"/>
      <c r="Q151" s="30"/>
      <c r="R151" s="30"/>
      <c r="S151" s="30"/>
    </row>
    <row r="152" spans="2:19" x14ac:dyDescent="0.25">
      <c r="B152" s="32" t="s">
        <v>18</v>
      </c>
      <c r="C152" s="115" t="s">
        <v>247</v>
      </c>
      <c r="D152" s="118"/>
      <c r="E152" s="166" t="s">
        <v>246</v>
      </c>
      <c r="F152" s="166" t="s">
        <v>15</v>
      </c>
      <c r="G152" s="166" t="s">
        <v>220</v>
      </c>
      <c r="H152" s="157"/>
      <c r="I152" s="157"/>
      <c r="J152" s="157"/>
      <c r="K152" s="157"/>
      <c r="L152" s="157"/>
      <c r="M152" s="157"/>
      <c r="Q152" s="30"/>
      <c r="R152" s="30"/>
      <c r="S152" s="30"/>
    </row>
    <row r="153" spans="2:19" x14ac:dyDescent="0.25">
      <c r="B153" s="39"/>
      <c r="C153" s="148" t="s">
        <v>145</v>
      </c>
      <c r="D153" s="164"/>
      <c r="E153" s="279"/>
      <c r="F153" s="280"/>
      <c r="G153" s="53"/>
      <c r="H153" s="157"/>
      <c r="I153" s="157"/>
      <c r="J153" s="157"/>
      <c r="K153" s="157"/>
      <c r="L153" s="157"/>
      <c r="M153" s="157"/>
      <c r="Q153" s="30"/>
      <c r="R153" s="30"/>
      <c r="S153" s="30"/>
    </row>
    <row r="154" spans="2:19" x14ac:dyDescent="0.25">
      <c r="B154" s="39">
        <v>1</v>
      </c>
      <c r="C154" s="31" t="s">
        <v>249</v>
      </c>
      <c r="D154" s="164" t="s">
        <v>24</v>
      </c>
      <c r="E154" s="281">
        <v>2</v>
      </c>
      <c r="F154" s="282">
        <v>3.5</v>
      </c>
      <c r="G154" s="401">
        <f>E154*F154</f>
        <v>7</v>
      </c>
      <c r="H154" s="157"/>
      <c r="I154" s="157"/>
      <c r="J154" s="157"/>
      <c r="K154" s="157"/>
      <c r="L154" s="157"/>
      <c r="M154" s="157"/>
      <c r="Q154" s="30"/>
      <c r="R154" s="30"/>
      <c r="S154" s="30"/>
    </row>
    <row r="155" spans="2:19" x14ac:dyDescent="0.25">
      <c r="B155" s="39">
        <v>2</v>
      </c>
      <c r="C155" s="31" t="s">
        <v>69</v>
      </c>
      <c r="D155" s="164" t="s">
        <v>24</v>
      </c>
      <c r="E155" s="281">
        <v>1</v>
      </c>
      <c r="F155" s="282">
        <v>3.5</v>
      </c>
      <c r="G155" s="401">
        <f t="shared" ref="G155:G169" si="18">E155*F155</f>
        <v>3.5</v>
      </c>
      <c r="H155" s="157"/>
      <c r="I155" s="157"/>
      <c r="J155" s="157"/>
      <c r="K155" s="157"/>
      <c r="L155" s="157"/>
      <c r="M155" s="157"/>
      <c r="Q155" s="30"/>
      <c r="R155" s="30"/>
      <c r="S155" s="30"/>
    </row>
    <row r="156" spans="2:19" x14ac:dyDescent="0.25">
      <c r="B156" s="39">
        <v>3</v>
      </c>
      <c r="C156" s="31" t="s">
        <v>63</v>
      </c>
      <c r="D156" s="164" t="s">
        <v>24</v>
      </c>
      <c r="E156" s="281">
        <v>1</v>
      </c>
      <c r="F156" s="282">
        <v>175</v>
      </c>
      <c r="G156" s="401">
        <f t="shared" si="18"/>
        <v>175</v>
      </c>
      <c r="H156" s="157"/>
      <c r="I156" s="157"/>
      <c r="J156" s="157"/>
      <c r="K156" s="157"/>
      <c r="L156" s="157"/>
      <c r="M156" s="157"/>
      <c r="Q156" s="30"/>
      <c r="R156" s="30"/>
      <c r="S156" s="30"/>
    </row>
    <row r="157" spans="2:19" x14ac:dyDescent="0.25">
      <c r="B157" s="39">
        <v>4</v>
      </c>
      <c r="C157" s="31" t="s">
        <v>199</v>
      </c>
      <c r="D157" s="164" t="s">
        <v>24</v>
      </c>
      <c r="E157" s="281">
        <v>1</v>
      </c>
      <c r="F157" s="282">
        <v>300</v>
      </c>
      <c r="G157" s="401">
        <f t="shared" si="18"/>
        <v>300</v>
      </c>
      <c r="H157" s="157"/>
      <c r="I157" s="157"/>
      <c r="J157" s="157"/>
      <c r="K157" s="157"/>
      <c r="L157" s="157"/>
      <c r="M157" s="157"/>
      <c r="Q157" s="30"/>
      <c r="R157" s="30"/>
      <c r="S157" s="30"/>
    </row>
    <row r="158" spans="2:19" x14ac:dyDescent="0.25">
      <c r="B158" s="39">
        <v>5</v>
      </c>
      <c r="C158" s="31" t="s">
        <v>254</v>
      </c>
      <c r="D158" s="164" t="s">
        <v>155</v>
      </c>
      <c r="E158" s="281">
        <v>3</v>
      </c>
      <c r="F158" s="282">
        <v>6700</v>
      </c>
      <c r="G158" s="401">
        <f t="shared" si="18"/>
        <v>20100</v>
      </c>
      <c r="H158" s="157"/>
      <c r="I158" s="157"/>
      <c r="J158" s="157"/>
      <c r="K158" s="157"/>
      <c r="L158" s="157"/>
      <c r="M158" s="157"/>
      <c r="Q158" s="30"/>
      <c r="R158" s="30"/>
      <c r="S158" s="30"/>
    </row>
    <row r="159" spans="2:19" x14ac:dyDescent="0.25">
      <c r="B159" s="39">
        <v>6</v>
      </c>
      <c r="C159" s="31" t="s">
        <v>255</v>
      </c>
      <c r="D159" s="164" t="s">
        <v>155</v>
      </c>
      <c r="E159" s="281">
        <v>1</v>
      </c>
      <c r="F159" s="283">
        <v>1200</v>
      </c>
      <c r="G159" s="401">
        <f t="shared" si="18"/>
        <v>1200</v>
      </c>
      <c r="H159" s="157"/>
      <c r="I159" s="157"/>
      <c r="J159" s="157"/>
      <c r="K159" s="157"/>
      <c r="L159" s="157"/>
      <c r="M159" s="157"/>
      <c r="Q159" s="30"/>
      <c r="R159" s="30"/>
      <c r="S159" s="30"/>
    </row>
    <row r="160" spans="2:19" x14ac:dyDescent="0.25">
      <c r="B160" s="39"/>
      <c r="C160" s="36" t="s">
        <v>147</v>
      </c>
      <c r="D160" s="164"/>
      <c r="E160" s="281"/>
      <c r="F160" s="283"/>
      <c r="G160" s="401"/>
      <c r="H160" s="157"/>
      <c r="I160" s="157"/>
      <c r="J160" s="157"/>
      <c r="K160" s="157"/>
      <c r="L160" s="157"/>
      <c r="M160" s="157"/>
      <c r="Q160" s="30"/>
      <c r="R160" s="30"/>
      <c r="S160" s="30"/>
    </row>
    <row r="161" spans="2:19" x14ac:dyDescent="0.25">
      <c r="B161" s="39">
        <v>7</v>
      </c>
      <c r="C161" s="31" t="s">
        <v>253</v>
      </c>
      <c r="D161" s="164" t="s">
        <v>155</v>
      </c>
      <c r="E161" s="281">
        <v>3</v>
      </c>
      <c r="F161" s="283">
        <v>670</v>
      </c>
      <c r="G161" s="401">
        <f t="shared" si="18"/>
        <v>2010</v>
      </c>
      <c r="H161" s="157"/>
      <c r="I161" s="157"/>
      <c r="J161" s="157"/>
      <c r="K161" s="157"/>
      <c r="L161" s="157"/>
      <c r="M161" s="157"/>
      <c r="Q161" s="30"/>
      <c r="R161" s="30"/>
      <c r="S161" s="30"/>
    </row>
    <row r="162" spans="2:19" x14ac:dyDescent="0.25">
      <c r="B162" s="39">
        <v>8</v>
      </c>
      <c r="C162" s="31" t="s">
        <v>255</v>
      </c>
      <c r="D162" s="164" t="s">
        <v>155</v>
      </c>
      <c r="E162" s="281">
        <v>3</v>
      </c>
      <c r="F162" s="283">
        <v>1200</v>
      </c>
      <c r="G162" s="401">
        <f t="shared" si="18"/>
        <v>3600</v>
      </c>
      <c r="H162" s="157"/>
      <c r="I162" s="157"/>
      <c r="J162" s="157"/>
      <c r="K162" s="157"/>
      <c r="L162" s="157"/>
      <c r="M162" s="157"/>
      <c r="Q162" s="30"/>
      <c r="R162" s="30"/>
      <c r="S162" s="30"/>
    </row>
    <row r="163" spans="2:19" x14ac:dyDescent="0.25">
      <c r="B163" s="39">
        <v>9</v>
      </c>
      <c r="C163" s="31" t="s">
        <v>149</v>
      </c>
      <c r="D163" s="164" t="s">
        <v>24</v>
      </c>
      <c r="E163" s="281">
        <v>1</v>
      </c>
      <c r="F163" s="282">
        <v>2</v>
      </c>
      <c r="G163" s="401">
        <f t="shared" si="18"/>
        <v>2</v>
      </c>
      <c r="H163" s="157"/>
      <c r="I163" s="157"/>
      <c r="J163" s="157"/>
      <c r="K163" s="157"/>
      <c r="L163" s="157"/>
      <c r="M163" s="157"/>
      <c r="Q163" s="30"/>
      <c r="R163" s="30"/>
      <c r="S163" s="30"/>
    </row>
    <row r="164" spans="2:19" x14ac:dyDescent="0.25">
      <c r="B164" s="39">
        <v>10</v>
      </c>
      <c r="C164" s="31" t="s">
        <v>248</v>
      </c>
      <c r="D164" s="164" t="s">
        <v>24</v>
      </c>
      <c r="E164" s="281">
        <v>3</v>
      </c>
      <c r="F164" s="282">
        <v>3</v>
      </c>
      <c r="G164" s="401">
        <f t="shared" si="18"/>
        <v>9</v>
      </c>
      <c r="H164" s="157"/>
      <c r="I164" s="157"/>
      <c r="J164" s="157"/>
      <c r="K164" s="157"/>
      <c r="L164" s="157"/>
      <c r="M164" s="157"/>
      <c r="Q164" s="30"/>
      <c r="R164" s="30"/>
      <c r="S164" s="30"/>
    </row>
    <row r="165" spans="2:19" x14ac:dyDescent="0.25">
      <c r="B165" s="39">
        <v>11</v>
      </c>
      <c r="C165" s="31" t="s">
        <v>152</v>
      </c>
      <c r="D165" s="164" t="s">
        <v>24</v>
      </c>
      <c r="E165" s="281">
        <v>1</v>
      </c>
      <c r="F165" s="282">
        <v>85</v>
      </c>
      <c r="G165" s="401">
        <f t="shared" si="18"/>
        <v>85</v>
      </c>
      <c r="H165" s="157"/>
      <c r="I165" s="157"/>
      <c r="J165" s="157"/>
      <c r="K165" s="157"/>
      <c r="L165" s="157"/>
      <c r="M165" s="157"/>
      <c r="Q165" s="30"/>
      <c r="R165" s="30"/>
      <c r="S165" s="30"/>
    </row>
    <row r="166" spans="2:19" x14ac:dyDescent="0.25">
      <c r="B166" s="39"/>
      <c r="C166" s="36" t="s">
        <v>150</v>
      </c>
      <c r="D166" s="164"/>
      <c r="E166" s="281"/>
      <c r="F166" s="283"/>
      <c r="G166" s="401"/>
      <c r="H166" s="157"/>
      <c r="I166" s="157"/>
      <c r="J166" s="157"/>
      <c r="K166" s="157"/>
      <c r="L166" s="157"/>
      <c r="M166" s="157"/>
      <c r="Q166" s="30"/>
      <c r="R166" s="30"/>
      <c r="S166" s="30"/>
    </row>
    <row r="167" spans="2:19" x14ac:dyDescent="0.25">
      <c r="B167" s="39">
        <v>12</v>
      </c>
      <c r="C167" s="31" t="s">
        <v>255</v>
      </c>
      <c r="D167" s="164" t="s">
        <v>155</v>
      </c>
      <c r="E167" s="281">
        <v>4</v>
      </c>
      <c r="F167" s="283">
        <v>1200</v>
      </c>
      <c r="G167" s="401">
        <f t="shared" si="18"/>
        <v>4800</v>
      </c>
      <c r="H167" s="157"/>
      <c r="I167" s="157"/>
      <c r="J167" s="157"/>
      <c r="K167" s="157"/>
      <c r="L167" s="157"/>
      <c r="M167" s="157"/>
      <c r="Q167" s="30"/>
      <c r="R167" s="30"/>
      <c r="S167" s="30"/>
    </row>
    <row r="168" spans="2:19" x14ac:dyDescent="0.25">
      <c r="B168" s="168">
        <v>13</v>
      </c>
      <c r="C168" s="31" t="s">
        <v>149</v>
      </c>
      <c r="D168" s="164" t="s">
        <v>24</v>
      </c>
      <c r="E168" s="281">
        <v>1</v>
      </c>
      <c r="F168" s="282">
        <v>2</v>
      </c>
      <c r="G168" s="343">
        <f t="shared" si="18"/>
        <v>2</v>
      </c>
      <c r="H168" s="157"/>
      <c r="I168" s="157"/>
      <c r="J168" s="157"/>
      <c r="K168" s="157"/>
      <c r="L168" s="157"/>
      <c r="M168" s="157"/>
      <c r="Q168" s="30"/>
      <c r="R168" s="30"/>
      <c r="S168" s="30"/>
    </row>
    <row r="169" spans="2:19" x14ac:dyDescent="0.25">
      <c r="B169" s="163">
        <v>14</v>
      </c>
      <c r="C169" s="35" t="s">
        <v>248</v>
      </c>
      <c r="D169" s="122" t="s">
        <v>24</v>
      </c>
      <c r="E169" s="284">
        <v>4</v>
      </c>
      <c r="F169" s="285">
        <v>3</v>
      </c>
      <c r="G169" s="127">
        <f t="shared" si="18"/>
        <v>12</v>
      </c>
      <c r="H169" s="157"/>
      <c r="I169" s="157"/>
      <c r="J169" s="157"/>
      <c r="K169" s="157"/>
      <c r="L169" s="157"/>
      <c r="M169" s="157"/>
      <c r="Q169" s="30"/>
      <c r="R169" s="30"/>
      <c r="S169" s="30"/>
    </row>
    <row r="170" spans="2:19" x14ac:dyDescent="0.25">
      <c r="B170" s="82" t="s">
        <v>256</v>
      </c>
      <c r="C170" s="82"/>
      <c r="D170" s="82"/>
      <c r="E170" s="82"/>
      <c r="F170" s="82"/>
      <c r="G170" s="82"/>
      <c r="H170" s="157"/>
      <c r="I170" s="157"/>
      <c r="J170" s="157"/>
      <c r="K170" s="157"/>
      <c r="L170" s="157"/>
      <c r="M170" s="157"/>
      <c r="Q170" s="30"/>
      <c r="R170" s="30"/>
      <c r="S170" s="30"/>
    </row>
    <row r="171" spans="2:19" x14ac:dyDescent="0.25">
      <c r="B171" s="576" t="s">
        <v>243</v>
      </c>
      <c r="C171" s="576"/>
      <c r="D171" s="576"/>
      <c r="E171" s="576"/>
      <c r="F171" s="576"/>
      <c r="G171" s="576"/>
      <c r="H171" s="576"/>
      <c r="I171" s="576"/>
      <c r="J171" s="576"/>
      <c r="K171" s="576"/>
      <c r="L171" s="576"/>
      <c r="M171" s="30"/>
      <c r="Q171" s="30"/>
      <c r="R171" s="30"/>
      <c r="S171" s="30"/>
    </row>
    <row r="172" spans="2:19" x14ac:dyDescent="0.25">
      <c r="B172" s="576" t="s">
        <v>244</v>
      </c>
      <c r="C172" s="576"/>
      <c r="D172" s="576"/>
      <c r="E172" s="576"/>
      <c r="F172" s="576"/>
      <c r="G172" s="576"/>
      <c r="H172" s="576"/>
      <c r="I172" s="576"/>
      <c r="J172" s="576"/>
      <c r="K172" s="576"/>
      <c r="L172" s="576"/>
      <c r="M172" s="576"/>
      <c r="Q172" s="30"/>
      <c r="R172" s="30"/>
      <c r="S172" s="30"/>
    </row>
    <row r="173" spans="2:19" x14ac:dyDescent="0.25">
      <c r="D173" s="158"/>
      <c r="F173" s="157"/>
      <c r="G173" s="157"/>
      <c r="H173" s="157"/>
      <c r="I173" s="157"/>
      <c r="J173" s="157"/>
      <c r="K173" s="157"/>
      <c r="L173" s="157"/>
      <c r="M173" s="157"/>
      <c r="Q173" s="30"/>
      <c r="R173" s="30"/>
      <c r="S173" s="30"/>
    </row>
    <row r="174" spans="2:19" x14ac:dyDescent="0.25">
      <c r="D174" s="158"/>
      <c r="F174" s="157"/>
      <c r="G174" s="157"/>
      <c r="H174" s="157"/>
      <c r="I174" s="157"/>
      <c r="J174" s="157"/>
      <c r="K174" s="157"/>
      <c r="L174" s="157"/>
      <c r="M174" s="157"/>
      <c r="Q174" s="30"/>
      <c r="R174" s="30"/>
      <c r="S174" s="30"/>
    </row>
    <row r="175" spans="2:19" x14ac:dyDescent="0.25">
      <c r="B175" s="614" t="s">
        <v>474</v>
      </c>
      <c r="C175" s="614"/>
      <c r="D175" s="614"/>
      <c r="E175" s="614"/>
      <c r="F175" s="614"/>
      <c r="G175" s="179"/>
      <c r="H175" s="179"/>
      <c r="I175" s="180"/>
      <c r="J175" s="179"/>
      <c r="K175" s="179"/>
      <c r="L175" s="180"/>
      <c r="M175" s="179"/>
      <c r="N175" s="179"/>
      <c r="O175" s="180"/>
      <c r="P175" s="179"/>
      <c r="Q175" s="30"/>
      <c r="R175" s="30"/>
      <c r="S175" s="30"/>
    </row>
    <row r="176" spans="2:19" ht="14.25" x14ac:dyDescent="0.25">
      <c r="B176" s="128" t="s">
        <v>14</v>
      </c>
      <c r="C176" s="54" t="s">
        <v>12</v>
      </c>
      <c r="D176" s="57" t="s">
        <v>16</v>
      </c>
      <c r="E176" s="241" t="s">
        <v>257</v>
      </c>
      <c r="F176" s="241" t="s">
        <v>258</v>
      </c>
      <c r="G176" s="241" t="s">
        <v>259</v>
      </c>
      <c r="H176" s="147" t="s">
        <v>260</v>
      </c>
      <c r="I176" s="342"/>
      <c r="J176" s="119"/>
      <c r="K176" s="181"/>
      <c r="L176" s="88"/>
      <c r="M176" s="38"/>
      <c r="N176" s="181"/>
      <c r="O176" s="88"/>
      <c r="P176" s="38"/>
      <c r="Q176" s="38"/>
      <c r="R176" s="30"/>
      <c r="S176" s="30"/>
    </row>
    <row r="177" spans="2:23" x14ac:dyDescent="0.25">
      <c r="B177" s="125"/>
      <c r="C177" s="129" t="s">
        <v>187</v>
      </c>
      <c r="D177" s="139"/>
      <c r="E177" s="115"/>
      <c r="F177" s="182"/>
      <c r="H177" s="343"/>
      <c r="I177" s="343"/>
      <c r="J177" s="182"/>
      <c r="K177" s="181"/>
      <c r="L177" s="88"/>
      <c r="M177" s="182"/>
      <c r="N177" s="181"/>
      <c r="O177" s="88"/>
      <c r="P177" s="182"/>
      <c r="Q177" s="38"/>
      <c r="R177" s="30"/>
      <c r="S177" s="30"/>
      <c r="V177" s="5"/>
    </row>
    <row r="178" spans="2:23" x14ac:dyDescent="0.25">
      <c r="B178" s="168">
        <v>19</v>
      </c>
      <c r="C178" s="149" t="s">
        <v>302</v>
      </c>
      <c r="D178" s="164" t="s">
        <v>55</v>
      </c>
      <c r="E178" s="407">
        <f>SUM(G158,G161)*B149</f>
        <v>109223400</v>
      </c>
      <c r="F178" s="408"/>
      <c r="G178" s="325"/>
      <c r="H178" s="325"/>
      <c r="I178" s="327"/>
      <c r="J178" s="186"/>
      <c r="K178" s="183"/>
      <c r="L178" s="113"/>
      <c r="M178" s="150"/>
      <c r="N178" s="183"/>
      <c r="O178" s="113"/>
      <c r="P178" s="150"/>
      <c r="Q178" s="38"/>
      <c r="R178" s="30"/>
      <c r="S178" s="30"/>
      <c r="V178" s="5"/>
    </row>
    <row r="179" spans="2:23" x14ac:dyDescent="0.25">
      <c r="B179" s="178"/>
      <c r="C179" s="3" t="s">
        <v>65</v>
      </c>
      <c r="D179" s="121"/>
      <c r="E179" s="409"/>
      <c r="F179" s="105"/>
      <c r="H179" s="326"/>
      <c r="I179" s="327"/>
      <c r="J179" s="238"/>
      <c r="K179" s="183"/>
      <c r="L179" s="113"/>
      <c r="M179" s="164"/>
      <c r="N179" s="183"/>
      <c r="O179" s="113"/>
      <c r="P179" s="164"/>
      <c r="Q179" s="38"/>
      <c r="R179" s="30"/>
      <c r="S179" s="30"/>
      <c r="V179" s="5"/>
      <c r="W179" s="101"/>
    </row>
    <row r="180" spans="2:23" x14ac:dyDescent="0.25">
      <c r="B180" s="168">
        <v>20</v>
      </c>
      <c r="C180" s="1" t="s">
        <v>25</v>
      </c>
      <c r="D180" s="164" t="s">
        <v>21</v>
      </c>
      <c r="E180" s="410">
        <f>F25</f>
        <v>400</v>
      </c>
      <c r="F180" s="104">
        <f>F25</f>
        <v>400</v>
      </c>
      <c r="H180" s="327"/>
      <c r="I180" s="327"/>
      <c r="J180" s="238"/>
      <c r="K180" s="183"/>
      <c r="L180" s="113"/>
      <c r="M180" s="164"/>
      <c r="N180" s="183"/>
      <c r="O180" s="113"/>
      <c r="P180" s="164"/>
      <c r="Q180" s="38"/>
      <c r="R180" s="30"/>
      <c r="S180" s="30"/>
      <c r="V180" s="5"/>
      <c r="W180" s="101"/>
    </row>
    <row r="181" spans="2:23" x14ac:dyDescent="0.25">
      <c r="B181" s="163">
        <v>21</v>
      </c>
      <c r="C181" s="35" t="s">
        <v>255</v>
      </c>
      <c r="D181" s="122" t="s">
        <v>55</v>
      </c>
      <c r="E181" s="411">
        <f>SUM(G159,G162)*B149</f>
        <v>23712000</v>
      </c>
      <c r="F181" s="411">
        <f>G167*B149</f>
        <v>23712000</v>
      </c>
      <c r="G181" s="239"/>
      <c r="H181" s="239"/>
      <c r="I181" s="238"/>
      <c r="J181" s="238"/>
      <c r="K181" s="183"/>
      <c r="L181" s="113"/>
      <c r="M181" s="164"/>
      <c r="N181" s="183"/>
      <c r="O181" s="113"/>
      <c r="P181" s="164"/>
      <c r="Q181" s="38"/>
      <c r="R181" s="30"/>
      <c r="S181" s="30"/>
      <c r="V181" s="5"/>
      <c r="W181" s="101"/>
    </row>
    <row r="182" spans="2:23" x14ac:dyDescent="0.25">
      <c r="B182" s="168"/>
      <c r="C182" s="6" t="s">
        <v>66</v>
      </c>
      <c r="D182" s="38"/>
      <c r="E182" s="409"/>
      <c r="F182" s="104"/>
      <c r="H182" s="326"/>
      <c r="I182" s="327"/>
      <c r="J182" s="238"/>
      <c r="K182" s="183"/>
      <c r="L182" s="113"/>
      <c r="M182" s="164"/>
      <c r="N182" s="183"/>
      <c r="O182" s="113"/>
      <c r="P182" s="164"/>
      <c r="Q182" s="38"/>
      <c r="R182" s="30"/>
      <c r="S182" s="30"/>
      <c r="V182" s="101"/>
      <c r="W182" s="101"/>
    </row>
    <row r="183" spans="2:23" x14ac:dyDescent="0.25">
      <c r="B183" s="168"/>
      <c r="C183" s="36" t="s">
        <v>160</v>
      </c>
      <c r="D183" s="164"/>
      <c r="E183" s="410"/>
      <c r="F183" s="104"/>
      <c r="H183" s="327"/>
      <c r="I183" s="327"/>
      <c r="J183" s="238"/>
      <c r="K183" s="183"/>
      <c r="L183" s="113"/>
      <c r="M183" s="164"/>
      <c r="N183" s="183"/>
      <c r="O183" s="113"/>
      <c r="P183" s="164"/>
      <c r="Q183" s="38"/>
      <c r="R183" s="30"/>
      <c r="S183" s="30"/>
      <c r="V183" s="101"/>
      <c r="W183" s="101"/>
    </row>
    <row r="184" spans="2:23" x14ac:dyDescent="0.25">
      <c r="B184" s="168">
        <v>22</v>
      </c>
      <c r="C184" s="30" t="s">
        <v>261</v>
      </c>
      <c r="D184" s="95" t="s">
        <v>420</v>
      </c>
      <c r="E184" s="410">
        <f>(SUM(E16,E17))*E18</f>
        <v>724.30546412113233</v>
      </c>
      <c r="F184" s="104"/>
      <c r="H184" s="327"/>
      <c r="I184" s="327"/>
      <c r="J184" s="238"/>
      <c r="K184" s="176"/>
      <c r="L184" s="113"/>
      <c r="M184" s="164"/>
      <c r="N184" s="176"/>
      <c r="O184" s="113"/>
      <c r="P184" s="164"/>
      <c r="Q184" s="38"/>
      <c r="R184" s="30"/>
      <c r="S184" s="30"/>
      <c r="V184" s="101"/>
      <c r="W184" s="101"/>
    </row>
    <row r="185" spans="2:23" x14ac:dyDescent="0.25">
      <c r="B185" s="39">
        <v>23</v>
      </c>
      <c r="C185" s="30" t="s">
        <v>159</v>
      </c>
      <c r="D185" s="95" t="s">
        <v>23</v>
      </c>
      <c r="E185" s="410">
        <f>SUM(G155,G164)</f>
        <v>12.5</v>
      </c>
      <c r="F185" s="104">
        <f>G169</f>
        <v>12</v>
      </c>
      <c r="H185" s="327"/>
      <c r="I185" s="327"/>
      <c r="J185" s="238"/>
      <c r="K185" s="340"/>
      <c r="L185" s="113"/>
      <c r="M185" s="164"/>
      <c r="N185" s="183"/>
      <c r="O185" s="113"/>
      <c r="P185" s="164"/>
      <c r="Q185" s="38"/>
      <c r="R185" s="30"/>
      <c r="S185" s="30"/>
      <c r="V185" s="101"/>
      <c r="W185" s="101"/>
    </row>
    <row r="186" spans="2:23" x14ac:dyDescent="0.25">
      <c r="B186" s="39">
        <v>24</v>
      </c>
      <c r="C186" s="30" t="s">
        <v>68</v>
      </c>
      <c r="D186" s="95" t="s">
        <v>23</v>
      </c>
      <c r="E186" s="410">
        <f>SUM(G154,G163)</f>
        <v>9</v>
      </c>
      <c r="F186" s="104">
        <f>G168</f>
        <v>2</v>
      </c>
      <c r="H186" s="327"/>
      <c r="I186" s="327"/>
      <c r="J186" s="238"/>
      <c r="K186" s="183"/>
      <c r="L186" s="113"/>
      <c r="M186" s="164"/>
      <c r="N186" s="183"/>
      <c r="O186" s="113"/>
      <c r="P186" s="164"/>
      <c r="Q186" s="38"/>
      <c r="R186" s="30"/>
      <c r="S186" s="30"/>
      <c r="V186" s="101"/>
      <c r="W186" s="101"/>
    </row>
    <row r="187" spans="2:23" x14ac:dyDescent="0.25">
      <c r="B187" s="39">
        <v>25</v>
      </c>
      <c r="C187" s="30" t="s">
        <v>67</v>
      </c>
      <c r="D187" s="95" t="s">
        <v>23</v>
      </c>
      <c r="E187" s="410">
        <f>SUM(G156,G165)</f>
        <v>260</v>
      </c>
      <c r="F187" s="104"/>
      <c r="H187" s="327"/>
      <c r="I187" s="327"/>
      <c r="J187" s="238"/>
      <c r="K187" s="183"/>
      <c r="L187" s="113"/>
      <c r="M187" s="164"/>
      <c r="N187" s="183"/>
      <c r="O187" s="113"/>
      <c r="P187" s="164"/>
      <c r="Q187" s="38"/>
      <c r="R187" s="30"/>
      <c r="S187" s="30"/>
      <c r="V187" s="101"/>
      <c r="W187" s="101"/>
    </row>
    <row r="188" spans="2:23" x14ac:dyDescent="0.25">
      <c r="B188" s="39">
        <v>26</v>
      </c>
      <c r="C188" s="30" t="s">
        <v>188</v>
      </c>
      <c r="D188" s="95" t="s">
        <v>23</v>
      </c>
      <c r="E188" s="410">
        <f>G157</f>
        <v>300</v>
      </c>
      <c r="F188" s="104"/>
      <c r="H188" s="327"/>
      <c r="I188" s="327"/>
      <c r="J188" s="238"/>
      <c r="K188" s="183"/>
      <c r="L188" s="113"/>
      <c r="M188" s="164"/>
      <c r="N188" s="183"/>
      <c r="O188" s="113"/>
      <c r="P188" s="164"/>
      <c r="Q188" s="38"/>
      <c r="R188" s="30"/>
      <c r="S188" s="30"/>
      <c r="V188" s="101"/>
      <c r="W188" s="101"/>
    </row>
    <row r="189" spans="2:23" x14ac:dyDescent="0.25">
      <c r="B189" s="39">
        <v>27</v>
      </c>
      <c r="C189" s="30" t="s">
        <v>189</v>
      </c>
      <c r="D189" s="95" t="s">
        <v>420</v>
      </c>
      <c r="E189" s="410">
        <f>F10*F57</f>
        <v>103.68663594470046</v>
      </c>
      <c r="F189" s="104"/>
      <c r="H189" s="327"/>
      <c r="I189" s="327"/>
      <c r="J189" s="238"/>
      <c r="K189" s="183"/>
      <c r="L189" s="113"/>
      <c r="M189" s="164"/>
      <c r="N189" s="183"/>
      <c r="O189" s="113"/>
      <c r="P189" s="164"/>
      <c r="Q189" s="38"/>
      <c r="R189" s="30"/>
      <c r="S189" s="30"/>
      <c r="V189" s="101"/>
      <c r="W189" s="101"/>
    </row>
    <row r="190" spans="2:23" x14ac:dyDescent="0.25">
      <c r="B190" s="168">
        <v>28</v>
      </c>
      <c r="C190" s="30" t="s">
        <v>158</v>
      </c>
      <c r="D190" s="95" t="s">
        <v>420</v>
      </c>
      <c r="E190" s="410">
        <f>($E$14*F90)</f>
        <v>145.35878867676104</v>
      </c>
      <c r="F190" s="104">
        <f>E14*F91</f>
        <v>37.919684002633311</v>
      </c>
      <c r="H190" s="327"/>
      <c r="I190" s="327"/>
      <c r="J190" s="238"/>
      <c r="K190" s="183"/>
      <c r="L190" s="113"/>
      <c r="M190" s="164"/>
      <c r="N190" s="183"/>
      <c r="O190" s="113"/>
      <c r="P190" s="164"/>
      <c r="Q190" s="38"/>
      <c r="R190" s="30"/>
      <c r="S190" s="30"/>
      <c r="V190" s="101"/>
      <c r="W190" s="101"/>
    </row>
    <row r="191" spans="2:23" x14ac:dyDescent="0.25">
      <c r="B191" s="170">
        <v>29</v>
      </c>
      <c r="C191" s="130" t="s">
        <v>230</v>
      </c>
      <c r="D191" s="164" t="s">
        <v>23</v>
      </c>
      <c r="E191" s="412">
        <f>(SUM(F58,F94))*B146</f>
        <v>395.625</v>
      </c>
      <c r="F191" s="104">
        <f>F95*B146</f>
        <v>22.5</v>
      </c>
      <c r="H191" s="327"/>
      <c r="I191" s="327"/>
      <c r="J191" s="238"/>
      <c r="K191" s="330"/>
      <c r="L191" s="113"/>
      <c r="M191" s="164"/>
      <c r="N191" s="184"/>
      <c r="O191" s="113"/>
      <c r="P191" s="164"/>
      <c r="Q191" s="38"/>
      <c r="R191" s="30"/>
      <c r="S191" s="30"/>
      <c r="V191" s="101"/>
      <c r="W191" s="101"/>
    </row>
    <row r="192" spans="2:23" x14ac:dyDescent="0.25">
      <c r="B192" s="466">
        <v>30</v>
      </c>
      <c r="C192" s="245" t="s">
        <v>416</v>
      </c>
      <c r="D192" s="95" t="s">
        <v>420</v>
      </c>
      <c r="E192" s="412">
        <f>F29*F28</f>
        <v>315.99736668861095</v>
      </c>
      <c r="F192" s="104"/>
      <c r="H192" s="327"/>
      <c r="I192" s="327"/>
      <c r="J192" s="238"/>
      <c r="K192" s="330"/>
      <c r="L192" s="113"/>
      <c r="M192" s="164"/>
      <c r="N192" s="184"/>
      <c r="O192" s="113"/>
      <c r="P192" s="164"/>
      <c r="Q192" s="38"/>
      <c r="R192" s="30"/>
      <c r="S192" s="30"/>
      <c r="V192" s="101"/>
      <c r="W192" s="101"/>
    </row>
    <row r="193" spans="2:23" x14ac:dyDescent="0.25">
      <c r="B193" s="168"/>
      <c r="C193" s="36" t="s">
        <v>186</v>
      </c>
      <c r="D193" s="38"/>
      <c r="E193" s="410"/>
      <c r="F193" s="104"/>
      <c r="H193" s="327"/>
      <c r="I193" s="327"/>
      <c r="J193" s="238"/>
      <c r="K193" s="164"/>
      <c r="L193" s="113"/>
      <c r="M193" s="164"/>
      <c r="N193" s="164"/>
      <c r="O193" s="113"/>
      <c r="P193" s="164"/>
      <c r="Q193" s="38"/>
      <c r="R193" s="53"/>
      <c r="S193" s="30"/>
      <c r="V193" s="101"/>
      <c r="W193" s="101"/>
    </row>
    <row r="194" spans="2:23" x14ac:dyDescent="0.25">
      <c r="B194" s="170">
        <v>31</v>
      </c>
      <c r="C194" s="143" t="s">
        <v>267</v>
      </c>
      <c r="D194" s="164" t="s">
        <v>266</v>
      </c>
      <c r="E194" s="412">
        <f>SUM(E130)*B143</f>
        <v>58793305.243445687</v>
      </c>
      <c r="F194" s="413">
        <f>E131*B143</f>
        <v>29061329.588014979</v>
      </c>
      <c r="H194" s="327"/>
      <c r="I194" s="327"/>
      <c r="J194" s="238"/>
      <c r="K194" s="183"/>
      <c r="L194" s="113"/>
      <c r="M194" s="164"/>
      <c r="N194" s="183"/>
      <c r="O194" s="113"/>
      <c r="P194" s="164"/>
      <c r="Q194" s="38"/>
      <c r="R194" s="30"/>
      <c r="S194" s="30"/>
      <c r="V194" s="101"/>
      <c r="W194" s="101"/>
    </row>
    <row r="195" spans="2:23" x14ac:dyDescent="0.25">
      <c r="B195" s="163">
        <v>32</v>
      </c>
      <c r="C195" s="187" t="s">
        <v>268</v>
      </c>
      <c r="D195" s="122" t="s">
        <v>266</v>
      </c>
      <c r="E195" s="407">
        <f>E132*B143</f>
        <v>42921348.314606741</v>
      </c>
      <c r="F195" s="411">
        <f>E133*B143</f>
        <v>17883895.131086141</v>
      </c>
      <c r="G195" s="325"/>
      <c r="H195" s="325"/>
      <c r="I195" s="327"/>
      <c r="J195" s="238"/>
      <c r="K195" s="176"/>
      <c r="L195" s="113"/>
      <c r="M195" s="164"/>
      <c r="N195" s="176"/>
      <c r="O195" s="113"/>
      <c r="P195" s="164"/>
      <c r="Q195" s="38"/>
      <c r="R195" s="30"/>
      <c r="S195" s="30"/>
      <c r="V195" s="101"/>
      <c r="W195" s="101"/>
    </row>
    <row r="196" spans="2:23" x14ac:dyDescent="0.25">
      <c r="B196" s="124"/>
      <c r="C196" s="30"/>
      <c r="D196" s="53"/>
      <c r="E196" s="137"/>
      <c r="H196" s="137"/>
      <c r="I196" s="342"/>
      <c r="J196" s="119"/>
      <c r="K196" s="183"/>
      <c r="L196" s="113"/>
      <c r="M196" s="164"/>
      <c r="N196" s="183"/>
      <c r="O196" s="113"/>
      <c r="P196" s="164"/>
      <c r="Q196" s="38"/>
      <c r="R196" s="30"/>
      <c r="S196" s="30"/>
    </row>
    <row r="197" spans="2:23" x14ac:dyDescent="0.25">
      <c r="B197" s="124"/>
      <c r="C197" s="30"/>
      <c r="D197" s="53"/>
      <c r="E197" s="137"/>
      <c r="H197" s="137"/>
      <c r="I197" s="342"/>
      <c r="J197" s="119"/>
      <c r="K197" s="344"/>
      <c r="L197" s="342"/>
      <c r="M197" s="119"/>
      <c r="N197" s="137"/>
      <c r="Q197" s="30"/>
      <c r="R197" s="30"/>
      <c r="S197" s="30"/>
    </row>
  </sheetData>
  <mergeCells count="147">
    <mergeCell ref="B99:F99"/>
    <mergeCell ref="H82:I82"/>
    <mergeCell ref="H81:I81"/>
    <mergeCell ref="H83:I83"/>
    <mergeCell ref="H85:I85"/>
    <mergeCell ref="H84:I84"/>
    <mergeCell ref="K64:L64"/>
    <mergeCell ref="C64:C65"/>
    <mergeCell ref="K83:L83"/>
    <mergeCell ref="K85:L85"/>
    <mergeCell ref="H72:I72"/>
    <mergeCell ref="H71:I71"/>
    <mergeCell ref="H73:I73"/>
    <mergeCell ref="H74:I74"/>
    <mergeCell ref="H75:I75"/>
    <mergeCell ref="H76:I76"/>
    <mergeCell ref="H77:I77"/>
    <mergeCell ref="K82:L82"/>
    <mergeCell ref="K81:L81"/>
    <mergeCell ref="H79:I79"/>
    <mergeCell ref="K84:L84"/>
    <mergeCell ref="H87:I87"/>
    <mergeCell ref="K87:L87"/>
    <mergeCell ref="H88:I88"/>
    <mergeCell ref="K88:L88"/>
    <mergeCell ref="K91:L91"/>
    <mergeCell ref="K92:L92"/>
    <mergeCell ref="H107:I107"/>
    <mergeCell ref="K93:L93"/>
    <mergeCell ref="K86:L86"/>
    <mergeCell ref="H86:I86"/>
    <mergeCell ref="E54:F54"/>
    <mergeCell ref="E55:F55"/>
    <mergeCell ref="H80:I80"/>
    <mergeCell ref="K80:L80"/>
    <mergeCell ref="E64:F64"/>
    <mergeCell ref="B64:B65"/>
    <mergeCell ref="H64:I64"/>
    <mergeCell ref="H66:I66"/>
    <mergeCell ref="H67:I67"/>
    <mergeCell ref="H68:I68"/>
    <mergeCell ref="H70:I70"/>
    <mergeCell ref="H78:I78"/>
    <mergeCell ref="H69:I69"/>
    <mergeCell ref="K69:L69"/>
    <mergeCell ref="K78:L78"/>
    <mergeCell ref="E3:F3"/>
    <mergeCell ref="E4:F4"/>
    <mergeCell ref="E5:F5"/>
    <mergeCell ref="E6:F6"/>
    <mergeCell ref="E7:F7"/>
    <mergeCell ref="E8:F8"/>
    <mergeCell ref="E9:F9"/>
    <mergeCell ref="E11:F11"/>
    <mergeCell ref="E21:F21"/>
    <mergeCell ref="E12:F12"/>
    <mergeCell ref="E13:F13"/>
    <mergeCell ref="E14:F14"/>
    <mergeCell ref="E15:F15"/>
    <mergeCell ref="E16:F16"/>
    <mergeCell ref="E18:F18"/>
    <mergeCell ref="E19:F19"/>
    <mergeCell ref="E20:F20"/>
    <mergeCell ref="E17:F17"/>
    <mergeCell ref="E22:F22"/>
    <mergeCell ref="E23:F23"/>
    <mergeCell ref="E24:F24"/>
    <mergeCell ref="H92:I92"/>
    <mergeCell ref="H93:I93"/>
    <mergeCell ref="H94:I94"/>
    <mergeCell ref="K90:L90"/>
    <mergeCell ref="H89:I89"/>
    <mergeCell ref="K89:L89"/>
    <mergeCell ref="K94:L94"/>
    <mergeCell ref="H90:I90"/>
    <mergeCell ref="H91:I91"/>
    <mergeCell ref="B61:F61"/>
    <mergeCell ref="B60:F60"/>
    <mergeCell ref="E46:F46"/>
    <mergeCell ref="E48:F48"/>
    <mergeCell ref="E49:F49"/>
    <mergeCell ref="H59:L59"/>
    <mergeCell ref="B59:C59"/>
    <mergeCell ref="E51:F51"/>
    <mergeCell ref="E52:F52"/>
    <mergeCell ref="E47:F47"/>
    <mergeCell ref="E44:F44"/>
    <mergeCell ref="E53:F53"/>
    <mergeCell ref="K107:L107"/>
    <mergeCell ref="H108:I108"/>
    <mergeCell ref="K108:L108"/>
    <mergeCell ref="H110:I110"/>
    <mergeCell ref="K110:L110"/>
    <mergeCell ref="K66:L66"/>
    <mergeCell ref="H95:I95"/>
    <mergeCell ref="K95:L95"/>
    <mergeCell ref="H96:I96"/>
    <mergeCell ref="K96:L96"/>
    <mergeCell ref="H97:I97"/>
    <mergeCell ref="K97:L97"/>
    <mergeCell ref="K67:L67"/>
    <mergeCell ref="K68:L68"/>
    <mergeCell ref="K70:L70"/>
    <mergeCell ref="K72:L72"/>
    <mergeCell ref="K71:L71"/>
    <mergeCell ref="K73:L73"/>
    <mergeCell ref="K74:L74"/>
    <mergeCell ref="K75:L75"/>
    <mergeCell ref="K76:L76"/>
    <mergeCell ref="K77:L77"/>
    <mergeCell ref="K79:L79"/>
    <mergeCell ref="B98:L98"/>
    <mergeCell ref="H114:I114"/>
    <mergeCell ref="K114:L114"/>
    <mergeCell ref="H115:I115"/>
    <mergeCell ref="K115:L115"/>
    <mergeCell ref="H116:I116"/>
    <mergeCell ref="K116:L116"/>
    <mergeCell ref="H120:I120"/>
    <mergeCell ref="K120:L120"/>
    <mergeCell ref="H109:I109"/>
    <mergeCell ref="K109:L109"/>
    <mergeCell ref="H111:I111"/>
    <mergeCell ref="K111:L111"/>
    <mergeCell ref="H112:I112"/>
    <mergeCell ref="K112:L112"/>
    <mergeCell ref="B175:F175"/>
    <mergeCell ref="H124:I124"/>
    <mergeCell ref="K124:L124"/>
    <mergeCell ref="H125:I125"/>
    <mergeCell ref="K125:L125"/>
    <mergeCell ref="H126:I126"/>
    <mergeCell ref="K126:L126"/>
    <mergeCell ref="H117:I117"/>
    <mergeCell ref="K117:L117"/>
    <mergeCell ref="H118:I118"/>
    <mergeCell ref="K118:L118"/>
    <mergeCell ref="H121:I121"/>
    <mergeCell ref="K121:L121"/>
    <mergeCell ref="H122:I122"/>
    <mergeCell ref="K122:L122"/>
    <mergeCell ref="H123:I123"/>
    <mergeCell ref="K123:L123"/>
    <mergeCell ref="H127:I127"/>
    <mergeCell ref="K127:L127"/>
    <mergeCell ref="H128:I128"/>
    <mergeCell ref="K128:L128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J17"/>
  <sheetViews>
    <sheetView showGridLines="0" workbookViewId="0">
      <selection activeCell="K17" sqref="K17"/>
    </sheetView>
  </sheetViews>
  <sheetFormatPr defaultRowHeight="12.75" x14ac:dyDescent="0.25"/>
  <cols>
    <col min="1" max="1" width="9.140625" style="30"/>
    <col min="2" max="2" width="4.5703125" style="30" bestFit="1" customWidth="1"/>
    <col min="3" max="3" width="21.42578125" style="30" bestFit="1" customWidth="1"/>
    <col min="4" max="4" width="9" style="30" bestFit="1" customWidth="1"/>
    <col min="5" max="16384" width="9.140625" style="30"/>
  </cols>
  <sheetData>
    <row r="2" spans="2:10" x14ac:dyDescent="0.25">
      <c r="C2" s="31"/>
      <c r="D2" s="31"/>
      <c r="E2" s="31"/>
      <c r="F2" s="31"/>
      <c r="G2" s="31"/>
      <c r="H2" s="31"/>
      <c r="I2" s="31"/>
    </row>
    <row r="3" spans="2:10" x14ac:dyDescent="0.25">
      <c r="B3" s="39"/>
      <c r="I3" s="31"/>
    </row>
    <row r="5" spans="2:10" x14ac:dyDescent="0.25">
      <c r="C5" s="31"/>
      <c r="D5" s="31"/>
      <c r="E5" s="31"/>
      <c r="F5" s="31"/>
      <c r="G5" s="31"/>
      <c r="H5" s="31"/>
      <c r="I5" s="31"/>
      <c r="J5" s="31"/>
    </row>
    <row r="6" spans="2:10" x14ac:dyDescent="0.25">
      <c r="B6" s="124" t="s">
        <v>18</v>
      </c>
      <c r="C6" s="36" t="s">
        <v>320</v>
      </c>
      <c r="D6" s="36"/>
      <c r="E6" s="36"/>
      <c r="F6" s="36"/>
      <c r="G6" s="31"/>
      <c r="H6" s="31"/>
      <c r="I6" s="31"/>
    </row>
    <row r="7" spans="2:10" x14ac:dyDescent="0.25">
      <c r="B7" s="502">
        <v>1</v>
      </c>
      <c r="C7" s="312">
        <v>3.7974999999999999</v>
      </c>
      <c r="D7" s="228" t="s">
        <v>419</v>
      </c>
      <c r="E7" s="33"/>
      <c r="F7" s="31"/>
      <c r="G7" s="31"/>
      <c r="H7" s="31"/>
      <c r="I7" s="31"/>
    </row>
    <row r="8" spans="2:10" x14ac:dyDescent="0.25">
      <c r="B8" s="163">
        <v>2</v>
      </c>
      <c r="C8" s="376">
        <v>3300000000000</v>
      </c>
      <c r="D8" s="228" t="s">
        <v>418</v>
      </c>
      <c r="E8" s="33" t="s">
        <v>322</v>
      </c>
      <c r="F8" s="31"/>
      <c r="G8" s="31"/>
      <c r="H8" s="31"/>
      <c r="I8" s="31"/>
    </row>
    <row r="9" spans="2:10" x14ac:dyDescent="0.25">
      <c r="C9" s="254" t="s">
        <v>323</v>
      </c>
      <c r="D9" s="38"/>
      <c r="E9" s="31"/>
      <c r="F9" s="31"/>
      <c r="G9" s="31"/>
      <c r="H9" s="31"/>
      <c r="I9" s="31"/>
    </row>
    <row r="10" spans="2:10" ht="15" x14ac:dyDescent="0.25">
      <c r="C10" s="253" t="s">
        <v>321</v>
      </c>
    </row>
    <row r="11" spans="2:10" x14ac:dyDescent="0.25">
      <c r="C11" s="31" t="s">
        <v>324</v>
      </c>
      <c r="D11" s="31"/>
      <c r="E11" s="31"/>
      <c r="F11" s="31"/>
      <c r="G11" s="31"/>
      <c r="H11" s="31"/>
      <c r="I11" s="38"/>
      <c r="J11" s="31"/>
    </row>
    <row r="17" spans="4:4" x14ac:dyDescent="0.25">
      <c r="D17" s="374"/>
    </row>
  </sheetData>
  <hyperlinks>
    <hyperlink ref="C10" r:id="rId1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B2:DG94"/>
  <sheetViews>
    <sheetView showGridLines="0" topLeftCell="CX52" zoomScale="130" zoomScaleNormal="130" workbookViewId="0">
      <selection activeCell="K79" sqref="K79"/>
    </sheetView>
  </sheetViews>
  <sheetFormatPr defaultRowHeight="12.75" x14ac:dyDescent="0.25"/>
  <cols>
    <col min="1" max="1" width="3" style="75" customWidth="1"/>
    <col min="2" max="2" width="4.7109375" style="75" customWidth="1"/>
    <col min="3" max="3" width="32.42578125" style="75" bestFit="1" customWidth="1"/>
    <col min="4" max="4" width="4" style="264" bestFit="1" customWidth="1"/>
    <col min="5" max="5" width="3.5703125" style="264" bestFit="1" customWidth="1"/>
    <col min="6" max="6" width="14" style="75" bestFit="1" customWidth="1"/>
    <col min="7" max="7" width="12.7109375" style="75" bestFit="1" customWidth="1"/>
    <col min="8" max="8" width="11.42578125" style="75" customWidth="1"/>
    <col min="9" max="9" width="13.7109375" style="75" bestFit="1" customWidth="1"/>
    <col min="10" max="10" width="9.85546875" style="75" bestFit="1" customWidth="1"/>
    <col min="11" max="12" width="11.7109375" style="75" bestFit="1" customWidth="1"/>
    <col min="13" max="13" width="10.7109375" style="75" customWidth="1"/>
    <col min="14" max="14" width="4.7109375" style="75" customWidth="1"/>
    <col min="15" max="15" width="32.42578125" style="75" bestFit="1" customWidth="1"/>
    <col min="16" max="16" width="4" style="264" bestFit="1" customWidth="1"/>
    <col min="17" max="17" width="3.5703125" style="264" bestFit="1" customWidth="1"/>
    <col min="18" max="18" width="14" style="75" bestFit="1" customWidth="1"/>
    <col min="19" max="19" width="11.28515625" style="75" bestFit="1" customWidth="1"/>
    <col min="20" max="20" width="11" style="75" bestFit="1" customWidth="1"/>
    <col min="21" max="21" width="13.7109375" style="75" bestFit="1" customWidth="1"/>
    <col min="22" max="22" width="9.7109375" style="75" customWidth="1"/>
    <col min="23" max="24" width="15.140625" style="75" bestFit="1" customWidth="1"/>
    <col min="25" max="25" width="10.7109375" style="75" customWidth="1"/>
    <col min="26" max="26" width="4.7109375" style="75" customWidth="1"/>
    <col min="27" max="27" width="32.42578125" style="75" bestFit="1" customWidth="1"/>
    <col min="28" max="28" width="4" style="264" bestFit="1" customWidth="1"/>
    <col min="29" max="29" width="3.5703125" style="264" bestFit="1" customWidth="1"/>
    <col min="30" max="30" width="14" style="75" bestFit="1" customWidth="1"/>
    <col min="31" max="31" width="13.5703125" style="75" bestFit="1" customWidth="1"/>
    <col min="32" max="32" width="11" style="75" bestFit="1" customWidth="1"/>
    <col min="33" max="33" width="13.7109375" style="75" bestFit="1" customWidth="1"/>
    <col min="34" max="34" width="9.85546875" style="75" bestFit="1" customWidth="1"/>
    <col min="35" max="36" width="11.7109375" style="75" bestFit="1" customWidth="1"/>
    <col min="37" max="37" width="10.7109375" style="75" customWidth="1"/>
    <col min="38" max="38" width="4.7109375" style="75" customWidth="1"/>
    <col min="39" max="39" width="32.42578125" style="75" bestFit="1" customWidth="1"/>
    <col min="40" max="40" width="4" style="264" bestFit="1" customWidth="1"/>
    <col min="41" max="41" width="3.5703125" style="264" bestFit="1" customWidth="1"/>
    <col min="42" max="42" width="14" style="75" bestFit="1" customWidth="1"/>
    <col min="43" max="43" width="11.28515625" style="75" bestFit="1" customWidth="1"/>
    <col min="44" max="44" width="11" style="75" bestFit="1" customWidth="1"/>
    <col min="45" max="45" width="13.7109375" style="75" bestFit="1" customWidth="1"/>
    <col min="46" max="46" width="9.7109375" style="75" customWidth="1"/>
    <col min="47" max="48" width="11.7109375" style="75" bestFit="1" customWidth="1"/>
    <col min="49" max="49" width="10.7109375" style="75" customWidth="1"/>
    <col min="50" max="50" width="4.7109375" style="75" customWidth="1"/>
    <col min="51" max="51" width="32.42578125" style="75" bestFit="1" customWidth="1"/>
    <col min="52" max="52" width="4" style="264" bestFit="1" customWidth="1"/>
    <col min="53" max="53" width="3.5703125" style="264" bestFit="1" customWidth="1"/>
    <col min="54" max="54" width="14" style="75" bestFit="1" customWidth="1"/>
    <col min="55" max="55" width="11.28515625" style="75" bestFit="1" customWidth="1"/>
    <col min="56" max="56" width="11" style="75" bestFit="1" customWidth="1"/>
    <col min="57" max="57" width="13.7109375" style="75" bestFit="1" customWidth="1"/>
    <col min="58" max="58" width="9.7109375" style="75" customWidth="1"/>
    <col min="59" max="60" width="11.7109375" style="75" bestFit="1" customWidth="1"/>
    <col min="61" max="61" width="10.7109375" style="75" customWidth="1"/>
    <col min="62" max="62" width="4.7109375" style="75" customWidth="1"/>
    <col min="63" max="63" width="32.42578125" style="75" bestFit="1" customWidth="1"/>
    <col min="64" max="64" width="4" style="264" bestFit="1" customWidth="1"/>
    <col min="65" max="65" width="3.5703125" style="264" bestFit="1" customWidth="1"/>
    <col min="66" max="66" width="14" style="75" bestFit="1" customWidth="1"/>
    <col min="67" max="67" width="11.28515625" style="75" bestFit="1" customWidth="1"/>
    <col min="68" max="68" width="11" style="75" bestFit="1" customWidth="1"/>
    <col min="69" max="69" width="13.7109375" style="75" bestFit="1" customWidth="1"/>
    <col min="70" max="70" width="9.7109375" style="75" customWidth="1"/>
    <col min="71" max="72" width="11.7109375" style="75" bestFit="1" customWidth="1"/>
    <col min="73" max="73" width="10.7109375" style="75" customWidth="1"/>
    <col min="74" max="74" width="4.7109375" style="75" customWidth="1"/>
    <col min="75" max="75" width="32.42578125" style="75" bestFit="1" customWidth="1"/>
    <col min="76" max="76" width="4" style="264" bestFit="1" customWidth="1"/>
    <col min="77" max="77" width="3.5703125" style="264" bestFit="1" customWidth="1"/>
    <col min="78" max="78" width="14" style="75" bestFit="1" customWidth="1"/>
    <col min="79" max="79" width="11.28515625" style="75" bestFit="1" customWidth="1"/>
    <col min="80" max="80" width="11" style="75" bestFit="1" customWidth="1"/>
    <col min="81" max="81" width="13.7109375" style="75" bestFit="1" customWidth="1"/>
    <col min="82" max="82" width="9.7109375" style="75" customWidth="1"/>
    <col min="83" max="84" width="11.7109375" style="75" bestFit="1" customWidth="1"/>
    <col min="85" max="85" width="9.140625" style="75"/>
    <col min="86" max="86" width="4.7109375" style="75" customWidth="1"/>
    <col min="87" max="87" width="32.42578125" style="75" bestFit="1" customWidth="1"/>
    <col min="88" max="88" width="4" style="264" bestFit="1" customWidth="1"/>
    <col min="89" max="89" width="3.5703125" style="264" bestFit="1" customWidth="1"/>
    <col min="90" max="90" width="14" style="75" bestFit="1" customWidth="1"/>
    <col min="91" max="91" width="11.28515625" style="75" bestFit="1" customWidth="1"/>
    <col min="92" max="92" width="11" style="75" bestFit="1" customWidth="1"/>
    <col min="93" max="93" width="13.7109375" style="75" bestFit="1" customWidth="1"/>
    <col min="94" max="94" width="9.7109375" style="75" customWidth="1"/>
    <col min="95" max="96" width="11.7109375" style="75" bestFit="1" customWidth="1"/>
    <col min="97" max="97" width="10.42578125" style="75" customWidth="1"/>
    <col min="98" max="98" width="3.7109375" style="75" customWidth="1"/>
    <col min="99" max="99" width="30.140625" style="75" customWidth="1"/>
    <col min="100" max="100" width="25.140625" style="75" bestFit="1" customWidth="1"/>
    <col min="101" max="101" width="7" style="75" bestFit="1" customWidth="1"/>
    <col min="102" max="106" width="10.140625" style="75" bestFit="1" customWidth="1"/>
    <col min="107" max="107" width="9.85546875" style="75" customWidth="1"/>
    <col min="108" max="109" width="10.140625" style="75" bestFit="1" customWidth="1"/>
    <col min="110" max="110" width="11" style="75" bestFit="1" customWidth="1"/>
    <col min="111" max="283" width="9.140625" style="75"/>
    <col min="284" max="284" width="4.7109375" style="75" customWidth="1"/>
    <col min="285" max="285" width="24.28515625" style="75" bestFit="1" customWidth="1"/>
    <col min="286" max="286" width="9" style="75" customWidth="1"/>
    <col min="287" max="287" width="11" style="75" bestFit="1" customWidth="1"/>
    <col min="288" max="288" width="10" style="75" customWidth="1"/>
    <col min="289" max="289" width="5.140625" style="75" customWidth="1"/>
    <col min="290" max="290" width="10.7109375" style="75" customWidth="1"/>
    <col min="291" max="291" width="16.7109375" style="75" customWidth="1"/>
    <col min="292" max="292" width="9.140625" style="75" customWidth="1"/>
    <col min="293" max="293" width="4.7109375" style="75" customWidth="1"/>
    <col min="294" max="294" width="19.85546875" style="75" customWidth="1"/>
    <col min="295" max="295" width="8.85546875" style="75" customWidth="1"/>
    <col min="296" max="296" width="11.85546875" style="75" bestFit="1" customWidth="1"/>
    <col min="297" max="298" width="9.85546875" style="75" customWidth="1"/>
    <col min="299" max="299" width="10" style="75" customWidth="1"/>
    <col min="300" max="300" width="5.140625" style="75" customWidth="1"/>
    <col min="301" max="301" width="10.7109375" style="75" customWidth="1"/>
    <col min="302" max="302" width="16.42578125" style="75" bestFit="1" customWidth="1"/>
    <col min="303" max="303" width="9.140625" style="75" customWidth="1"/>
    <col min="304" max="304" width="4.7109375" style="75" customWidth="1"/>
    <col min="305" max="305" width="22.140625" style="75" bestFit="1" customWidth="1"/>
    <col min="306" max="306" width="8.85546875" style="75" customWidth="1"/>
    <col min="307" max="307" width="11.85546875" style="75" bestFit="1" customWidth="1"/>
    <col min="308" max="309" width="9.85546875" style="75" customWidth="1"/>
    <col min="310" max="310" width="10" style="75" customWidth="1"/>
    <col min="311" max="311" width="5.140625" style="75" customWidth="1"/>
    <col min="312" max="312" width="10.7109375" style="75" customWidth="1"/>
    <col min="313" max="313" width="17.42578125" style="75" customWidth="1"/>
    <col min="314" max="314" width="9.140625" style="75" customWidth="1"/>
    <col min="315" max="315" width="4.7109375" style="75" customWidth="1"/>
    <col min="316" max="316" width="19.5703125" style="75" customWidth="1"/>
    <col min="317" max="317" width="8.85546875" style="75" customWidth="1"/>
    <col min="318" max="320" width="9.85546875" style="75" customWidth="1"/>
    <col min="321" max="321" width="10" style="75" customWidth="1"/>
    <col min="322" max="322" width="5.140625" style="75" customWidth="1"/>
    <col min="323" max="323" width="10.7109375" style="75" customWidth="1"/>
    <col min="324" max="324" width="20.5703125" style="75" customWidth="1"/>
    <col min="325" max="325" width="9.140625" style="75" customWidth="1"/>
    <col min="326" max="326" width="4.7109375" style="75" customWidth="1"/>
    <col min="327" max="327" width="19.5703125" style="75" customWidth="1"/>
    <col min="328" max="328" width="8.85546875" style="75" customWidth="1"/>
    <col min="329" max="331" width="10.28515625" style="75" customWidth="1"/>
    <col min="332" max="332" width="10" style="75" customWidth="1"/>
    <col min="333" max="333" width="5.140625" style="75" customWidth="1"/>
    <col min="334" max="334" width="10.7109375" style="75" customWidth="1"/>
    <col min="335" max="335" width="22" style="75" customWidth="1"/>
    <col min="336" max="341" width="9.140625" style="75" customWidth="1"/>
    <col min="342" max="539" width="9.140625" style="75"/>
    <col min="540" max="540" width="4.7109375" style="75" customWidth="1"/>
    <col min="541" max="541" width="24.28515625" style="75" bestFit="1" customWidth="1"/>
    <col min="542" max="542" width="9" style="75" customWidth="1"/>
    <col min="543" max="543" width="11" style="75" bestFit="1" customWidth="1"/>
    <col min="544" max="544" width="10" style="75" customWidth="1"/>
    <col min="545" max="545" width="5.140625" style="75" customWidth="1"/>
    <col min="546" max="546" width="10.7109375" style="75" customWidth="1"/>
    <col min="547" max="547" width="16.7109375" style="75" customWidth="1"/>
    <col min="548" max="548" width="9.140625" style="75" customWidth="1"/>
    <col min="549" max="549" width="4.7109375" style="75" customWidth="1"/>
    <col min="550" max="550" width="19.85546875" style="75" customWidth="1"/>
    <col min="551" max="551" width="8.85546875" style="75" customWidth="1"/>
    <col min="552" max="552" width="11.85546875" style="75" bestFit="1" customWidth="1"/>
    <col min="553" max="554" width="9.85546875" style="75" customWidth="1"/>
    <col min="555" max="555" width="10" style="75" customWidth="1"/>
    <col min="556" max="556" width="5.140625" style="75" customWidth="1"/>
    <col min="557" max="557" width="10.7109375" style="75" customWidth="1"/>
    <col min="558" max="558" width="16.42578125" style="75" bestFit="1" customWidth="1"/>
    <col min="559" max="559" width="9.140625" style="75" customWidth="1"/>
    <col min="560" max="560" width="4.7109375" style="75" customWidth="1"/>
    <col min="561" max="561" width="22.140625" style="75" bestFit="1" customWidth="1"/>
    <col min="562" max="562" width="8.85546875" style="75" customWidth="1"/>
    <col min="563" max="563" width="11.85546875" style="75" bestFit="1" customWidth="1"/>
    <col min="564" max="565" width="9.85546875" style="75" customWidth="1"/>
    <col min="566" max="566" width="10" style="75" customWidth="1"/>
    <col min="567" max="567" width="5.140625" style="75" customWidth="1"/>
    <col min="568" max="568" width="10.7109375" style="75" customWidth="1"/>
    <col min="569" max="569" width="17.42578125" style="75" customWidth="1"/>
    <col min="570" max="570" width="9.140625" style="75" customWidth="1"/>
    <col min="571" max="571" width="4.7109375" style="75" customWidth="1"/>
    <col min="572" max="572" width="19.5703125" style="75" customWidth="1"/>
    <col min="573" max="573" width="8.85546875" style="75" customWidth="1"/>
    <col min="574" max="576" width="9.85546875" style="75" customWidth="1"/>
    <col min="577" max="577" width="10" style="75" customWidth="1"/>
    <col min="578" max="578" width="5.140625" style="75" customWidth="1"/>
    <col min="579" max="579" width="10.7109375" style="75" customWidth="1"/>
    <col min="580" max="580" width="20.5703125" style="75" customWidth="1"/>
    <col min="581" max="581" width="9.140625" style="75" customWidth="1"/>
    <col min="582" max="582" width="4.7109375" style="75" customWidth="1"/>
    <col min="583" max="583" width="19.5703125" style="75" customWidth="1"/>
    <col min="584" max="584" width="8.85546875" style="75" customWidth="1"/>
    <col min="585" max="587" width="10.28515625" style="75" customWidth="1"/>
    <col min="588" max="588" width="10" style="75" customWidth="1"/>
    <col min="589" max="589" width="5.140625" style="75" customWidth="1"/>
    <col min="590" max="590" width="10.7109375" style="75" customWidth="1"/>
    <col min="591" max="591" width="22" style="75" customWidth="1"/>
    <col min="592" max="597" width="9.140625" style="75" customWidth="1"/>
    <col min="598" max="795" width="9.140625" style="75"/>
    <col min="796" max="796" width="4.7109375" style="75" customWidth="1"/>
    <col min="797" max="797" width="24.28515625" style="75" bestFit="1" customWidth="1"/>
    <col min="798" max="798" width="9" style="75" customWidth="1"/>
    <col min="799" max="799" width="11" style="75" bestFit="1" customWidth="1"/>
    <col min="800" max="800" width="10" style="75" customWidth="1"/>
    <col min="801" max="801" width="5.140625" style="75" customWidth="1"/>
    <col min="802" max="802" width="10.7109375" style="75" customWidth="1"/>
    <col min="803" max="803" width="16.7109375" style="75" customWidth="1"/>
    <col min="804" max="804" width="9.140625" style="75" customWidth="1"/>
    <col min="805" max="805" width="4.7109375" style="75" customWidth="1"/>
    <col min="806" max="806" width="19.85546875" style="75" customWidth="1"/>
    <col min="807" max="807" width="8.85546875" style="75" customWidth="1"/>
    <col min="808" max="808" width="11.85546875" style="75" bestFit="1" customWidth="1"/>
    <col min="809" max="810" width="9.85546875" style="75" customWidth="1"/>
    <col min="811" max="811" width="10" style="75" customWidth="1"/>
    <col min="812" max="812" width="5.140625" style="75" customWidth="1"/>
    <col min="813" max="813" width="10.7109375" style="75" customWidth="1"/>
    <col min="814" max="814" width="16.42578125" style="75" bestFit="1" customWidth="1"/>
    <col min="815" max="815" width="9.140625" style="75" customWidth="1"/>
    <col min="816" max="816" width="4.7109375" style="75" customWidth="1"/>
    <col min="817" max="817" width="22.140625" style="75" bestFit="1" customWidth="1"/>
    <col min="818" max="818" width="8.85546875" style="75" customWidth="1"/>
    <col min="819" max="819" width="11.85546875" style="75" bestFit="1" customWidth="1"/>
    <col min="820" max="821" width="9.85546875" style="75" customWidth="1"/>
    <col min="822" max="822" width="10" style="75" customWidth="1"/>
    <col min="823" max="823" width="5.140625" style="75" customWidth="1"/>
    <col min="824" max="824" width="10.7109375" style="75" customWidth="1"/>
    <col min="825" max="825" width="17.42578125" style="75" customWidth="1"/>
    <col min="826" max="826" width="9.140625" style="75" customWidth="1"/>
    <col min="827" max="827" width="4.7109375" style="75" customWidth="1"/>
    <col min="828" max="828" width="19.5703125" style="75" customWidth="1"/>
    <col min="829" max="829" width="8.85546875" style="75" customWidth="1"/>
    <col min="830" max="832" width="9.85546875" style="75" customWidth="1"/>
    <col min="833" max="833" width="10" style="75" customWidth="1"/>
    <col min="834" max="834" width="5.140625" style="75" customWidth="1"/>
    <col min="835" max="835" width="10.7109375" style="75" customWidth="1"/>
    <col min="836" max="836" width="20.5703125" style="75" customWidth="1"/>
    <col min="837" max="837" width="9.140625" style="75" customWidth="1"/>
    <col min="838" max="838" width="4.7109375" style="75" customWidth="1"/>
    <col min="839" max="839" width="19.5703125" style="75" customWidth="1"/>
    <col min="840" max="840" width="8.85546875" style="75" customWidth="1"/>
    <col min="841" max="843" width="10.28515625" style="75" customWidth="1"/>
    <col min="844" max="844" width="10" style="75" customWidth="1"/>
    <col min="845" max="845" width="5.140625" style="75" customWidth="1"/>
    <col min="846" max="846" width="10.7109375" style="75" customWidth="1"/>
    <col min="847" max="847" width="22" style="75" customWidth="1"/>
    <col min="848" max="853" width="9.140625" style="75" customWidth="1"/>
    <col min="854" max="1051" width="9.140625" style="75"/>
    <col min="1052" max="1052" width="4.7109375" style="75" customWidth="1"/>
    <col min="1053" max="1053" width="24.28515625" style="75" bestFit="1" customWidth="1"/>
    <col min="1054" max="1054" width="9" style="75" customWidth="1"/>
    <col min="1055" max="1055" width="11" style="75" bestFit="1" customWidth="1"/>
    <col min="1056" max="1056" width="10" style="75" customWidth="1"/>
    <col min="1057" max="1057" width="5.140625" style="75" customWidth="1"/>
    <col min="1058" max="1058" width="10.7109375" style="75" customWidth="1"/>
    <col min="1059" max="1059" width="16.7109375" style="75" customWidth="1"/>
    <col min="1060" max="1060" width="9.140625" style="75" customWidth="1"/>
    <col min="1061" max="1061" width="4.7109375" style="75" customWidth="1"/>
    <col min="1062" max="1062" width="19.85546875" style="75" customWidth="1"/>
    <col min="1063" max="1063" width="8.85546875" style="75" customWidth="1"/>
    <col min="1064" max="1064" width="11.85546875" style="75" bestFit="1" customWidth="1"/>
    <col min="1065" max="1066" width="9.85546875" style="75" customWidth="1"/>
    <col min="1067" max="1067" width="10" style="75" customWidth="1"/>
    <col min="1068" max="1068" width="5.140625" style="75" customWidth="1"/>
    <col min="1069" max="1069" width="10.7109375" style="75" customWidth="1"/>
    <col min="1070" max="1070" width="16.42578125" style="75" bestFit="1" customWidth="1"/>
    <col min="1071" max="1071" width="9.140625" style="75" customWidth="1"/>
    <col min="1072" max="1072" width="4.7109375" style="75" customWidth="1"/>
    <col min="1073" max="1073" width="22.140625" style="75" bestFit="1" customWidth="1"/>
    <col min="1074" max="1074" width="8.85546875" style="75" customWidth="1"/>
    <col min="1075" max="1075" width="11.85546875" style="75" bestFit="1" customWidth="1"/>
    <col min="1076" max="1077" width="9.85546875" style="75" customWidth="1"/>
    <col min="1078" max="1078" width="10" style="75" customWidth="1"/>
    <col min="1079" max="1079" width="5.140625" style="75" customWidth="1"/>
    <col min="1080" max="1080" width="10.7109375" style="75" customWidth="1"/>
    <col min="1081" max="1081" width="17.42578125" style="75" customWidth="1"/>
    <col min="1082" max="1082" width="9.140625" style="75" customWidth="1"/>
    <col min="1083" max="1083" width="4.7109375" style="75" customWidth="1"/>
    <col min="1084" max="1084" width="19.5703125" style="75" customWidth="1"/>
    <col min="1085" max="1085" width="8.85546875" style="75" customWidth="1"/>
    <col min="1086" max="1088" width="9.85546875" style="75" customWidth="1"/>
    <col min="1089" max="1089" width="10" style="75" customWidth="1"/>
    <col min="1090" max="1090" width="5.140625" style="75" customWidth="1"/>
    <col min="1091" max="1091" width="10.7109375" style="75" customWidth="1"/>
    <col min="1092" max="1092" width="20.5703125" style="75" customWidth="1"/>
    <col min="1093" max="1093" width="9.140625" style="75" customWidth="1"/>
    <col min="1094" max="1094" width="4.7109375" style="75" customWidth="1"/>
    <col min="1095" max="1095" width="19.5703125" style="75" customWidth="1"/>
    <col min="1096" max="1096" width="8.85546875" style="75" customWidth="1"/>
    <col min="1097" max="1099" width="10.28515625" style="75" customWidth="1"/>
    <col min="1100" max="1100" width="10" style="75" customWidth="1"/>
    <col min="1101" max="1101" width="5.140625" style="75" customWidth="1"/>
    <col min="1102" max="1102" width="10.7109375" style="75" customWidth="1"/>
    <col min="1103" max="1103" width="22" style="75" customWidth="1"/>
    <col min="1104" max="1109" width="9.140625" style="75" customWidth="1"/>
    <col min="1110" max="1307" width="9.140625" style="75"/>
    <col min="1308" max="1308" width="4.7109375" style="75" customWidth="1"/>
    <col min="1309" max="1309" width="24.28515625" style="75" bestFit="1" customWidth="1"/>
    <col min="1310" max="1310" width="9" style="75" customWidth="1"/>
    <col min="1311" max="1311" width="11" style="75" bestFit="1" customWidth="1"/>
    <col min="1312" max="1312" width="10" style="75" customWidth="1"/>
    <col min="1313" max="1313" width="5.140625" style="75" customWidth="1"/>
    <col min="1314" max="1314" width="10.7109375" style="75" customWidth="1"/>
    <col min="1315" max="1315" width="16.7109375" style="75" customWidth="1"/>
    <col min="1316" max="1316" width="9.140625" style="75" customWidth="1"/>
    <col min="1317" max="1317" width="4.7109375" style="75" customWidth="1"/>
    <col min="1318" max="1318" width="19.85546875" style="75" customWidth="1"/>
    <col min="1319" max="1319" width="8.85546875" style="75" customWidth="1"/>
    <col min="1320" max="1320" width="11.85546875" style="75" bestFit="1" customWidth="1"/>
    <col min="1321" max="1322" width="9.85546875" style="75" customWidth="1"/>
    <col min="1323" max="1323" width="10" style="75" customWidth="1"/>
    <col min="1324" max="1324" width="5.140625" style="75" customWidth="1"/>
    <col min="1325" max="1325" width="10.7109375" style="75" customWidth="1"/>
    <col min="1326" max="1326" width="16.42578125" style="75" bestFit="1" customWidth="1"/>
    <col min="1327" max="1327" width="9.140625" style="75" customWidth="1"/>
    <col min="1328" max="1328" width="4.7109375" style="75" customWidth="1"/>
    <col min="1329" max="1329" width="22.140625" style="75" bestFit="1" customWidth="1"/>
    <col min="1330" max="1330" width="8.85546875" style="75" customWidth="1"/>
    <col min="1331" max="1331" width="11.85546875" style="75" bestFit="1" customWidth="1"/>
    <col min="1332" max="1333" width="9.85546875" style="75" customWidth="1"/>
    <col min="1334" max="1334" width="10" style="75" customWidth="1"/>
    <col min="1335" max="1335" width="5.140625" style="75" customWidth="1"/>
    <col min="1336" max="1336" width="10.7109375" style="75" customWidth="1"/>
    <col min="1337" max="1337" width="17.42578125" style="75" customWidth="1"/>
    <col min="1338" max="1338" width="9.140625" style="75" customWidth="1"/>
    <col min="1339" max="1339" width="4.7109375" style="75" customWidth="1"/>
    <col min="1340" max="1340" width="19.5703125" style="75" customWidth="1"/>
    <col min="1341" max="1341" width="8.85546875" style="75" customWidth="1"/>
    <col min="1342" max="1344" width="9.85546875" style="75" customWidth="1"/>
    <col min="1345" max="1345" width="10" style="75" customWidth="1"/>
    <col min="1346" max="1346" width="5.140625" style="75" customWidth="1"/>
    <col min="1347" max="1347" width="10.7109375" style="75" customWidth="1"/>
    <col min="1348" max="1348" width="20.5703125" style="75" customWidth="1"/>
    <col min="1349" max="1349" width="9.140625" style="75" customWidth="1"/>
    <col min="1350" max="1350" width="4.7109375" style="75" customWidth="1"/>
    <col min="1351" max="1351" width="19.5703125" style="75" customWidth="1"/>
    <col min="1352" max="1352" width="8.85546875" style="75" customWidth="1"/>
    <col min="1353" max="1355" width="10.28515625" style="75" customWidth="1"/>
    <col min="1356" max="1356" width="10" style="75" customWidth="1"/>
    <col min="1357" max="1357" width="5.140625" style="75" customWidth="1"/>
    <col min="1358" max="1358" width="10.7109375" style="75" customWidth="1"/>
    <col min="1359" max="1359" width="22" style="75" customWidth="1"/>
    <col min="1360" max="1365" width="9.140625" style="75" customWidth="1"/>
    <col min="1366" max="1563" width="9.140625" style="75"/>
    <col min="1564" max="1564" width="4.7109375" style="75" customWidth="1"/>
    <col min="1565" max="1565" width="24.28515625" style="75" bestFit="1" customWidth="1"/>
    <col min="1566" max="1566" width="9" style="75" customWidth="1"/>
    <col min="1567" max="1567" width="11" style="75" bestFit="1" customWidth="1"/>
    <col min="1568" max="1568" width="10" style="75" customWidth="1"/>
    <col min="1569" max="1569" width="5.140625" style="75" customWidth="1"/>
    <col min="1570" max="1570" width="10.7109375" style="75" customWidth="1"/>
    <col min="1571" max="1571" width="16.7109375" style="75" customWidth="1"/>
    <col min="1572" max="1572" width="9.140625" style="75" customWidth="1"/>
    <col min="1573" max="1573" width="4.7109375" style="75" customWidth="1"/>
    <col min="1574" max="1574" width="19.85546875" style="75" customWidth="1"/>
    <col min="1575" max="1575" width="8.85546875" style="75" customWidth="1"/>
    <col min="1576" max="1576" width="11.85546875" style="75" bestFit="1" customWidth="1"/>
    <col min="1577" max="1578" width="9.85546875" style="75" customWidth="1"/>
    <col min="1579" max="1579" width="10" style="75" customWidth="1"/>
    <col min="1580" max="1580" width="5.140625" style="75" customWidth="1"/>
    <col min="1581" max="1581" width="10.7109375" style="75" customWidth="1"/>
    <col min="1582" max="1582" width="16.42578125" style="75" bestFit="1" customWidth="1"/>
    <col min="1583" max="1583" width="9.140625" style="75" customWidth="1"/>
    <col min="1584" max="1584" width="4.7109375" style="75" customWidth="1"/>
    <col min="1585" max="1585" width="22.140625" style="75" bestFit="1" customWidth="1"/>
    <col min="1586" max="1586" width="8.85546875" style="75" customWidth="1"/>
    <col min="1587" max="1587" width="11.85546875" style="75" bestFit="1" customWidth="1"/>
    <col min="1588" max="1589" width="9.85546875" style="75" customWidth="1"/>
    <col min="1590" max="1590" width="10" style="75" customWidth="1"/>
    <col min="1591" max="1591" width="5.140625" style="75" customWidth="1"/>
    <col min="1592" max="1592" width="10.7109375" style="75" customWidth="1"/>
    <col min="1593" max="1593" width="17.42578125" style="75" customWidth="1"/>
    <col min="1594" max="1594" width="9.140625" style="75" customWidth="1"/>
    <col min="1595" max="1595" width="4.7109375" style="75" customWidth="1"/>
    <col min="1596" max="1596" width="19.5703125" style="75" customWidth="1"/>
    <col min="1597" max="1597" width="8.85546875" style="75" customWidth="1"/>
    <col min="1598" max="1600" width="9.85546875" style="75" customWidth="1"/>
    <col min="1601" max="1601" width="10" style="75" customWidth="1"/>
    <col min="1602" max="1602" width="5.140625" style="75" customWidth="1"/>
    <col min="1603" max="1603" width="10.7109375" style="75" customWidth="1"/>
    <col min="1604" max="1604" width="20.5703125" style="75" customWidth="1"/>
    <col min="1605" max="1605" width="9.140625" style="75" customWidth="1"/>
    <col min="1606" max="1606" width="4.7109375" style="75" customWidth="1"/>
    <col min="1607" max="1607" width="19.5703125" style="75" customWidth="1"/>
    <col min="1608" max="1608" width="8.85546875" style="75" customWidth="1"/>
    <col min="1609" max="1611" width="10.28515625" style="75" customWidth="1"/>
    <col min="1612" max="1612" width="10" style="75" customWidth="1"/>
    <col min="1613" max="1613" width="5.140625" style="75" customWidth="1"/>
    <col min="1614" max="1614" width="10.7109375" style="75" customWidth="1"/>
    <col min="1615" max="1615" width="22" style="75" customWidth="1"/>
    <col min="1616" max="1621" width="9.140625" style="75" customWidth="1"/>
    <col min="1622" max="1819" width="9.140625" style="75"/>
    <col min="1820" max="1820" width="4.7109375" style="75" customWidth="1"/>
    <col min="1821" max="1821" width="24.28515625" style="75" bestFit="1" customWidth="1"/>
    <col min="1822" max="1822" width="9" style="75" customWidth="1"/>
    <col min="1823" max="1823" width="11" style="75" bestFit="1" customWidth="1"/>
    <col min="1824" max="1824" width="10" style="75" customWidth="1"/>
    <col min="1825" max="1825" width="5.140625" style="75" customWidth="1"/>
    <col min="1826" max="1826" width="10.7109375" style="75" customWidth="1"/>
    <col min="1827" max="1827" width="16.7109375" style="75" customWidth="1"/>
    <col min="1828" max="1828" width="9.140625" style="75" customWidth="1"/>
    <col min="1829" max="1829" width="4.7109375" style="75" customWidth="1"/>
    <col min="1830" max="1830" width="19.85546875" style="75" customWidth="1"/>
    <col min="1831" max="1831" width="8.85546875" style="75" customWidth="1"/>
    <col min="1832" max="1832" width="11.85546875" style="75" bestFit="1" customWidth="1"/>
    <col min="1833" max="1834" width="9.85546875" style="75" customWidth="1"/>
    <col min="1835" max="1835" width="10" style="75" customWidth="1"/>
    <col min="1836" max="1836" width="5.140625" style="75" customWidth="1"/>
    <col min="1837" max="1837" width="10.7109375" style="75" customWidth="1"/>
    <col min="1838" max="1838" width="16.42578125" style="75" bestFit="1" customWidth="1"/>
    <col min="1839" max="1839" width="9.140625" style="75" customWidth="1"/>
    <col min="1840" max="1840" width="4.7109375" style="75" customWidth="1"/>
    <col min="1841" max="1841" width="22.140625" style="75" bestFit="1" customWidth="1"/>
    <col min="1842" max="1842" width="8.85546875" style="75" customWidth="1"/>
    <col min="1843" max="1843" width="11.85546875" style="75" bestFit="1" customWidth="1"/>
    <col min="1844" max="1845" width="9.85546875" style="75" customWidth="1"/>
    <col min="1846" max="1846" width="10" style="75" customWidth="1"/>
    <col min="1847" max="1847" width="5.140625" style="75" customWidth="1"/>
    <col min="1848" max="1848" width="10.7109375" style="75" customWidth="1"/>
    <col min="1849" max="1849" width="17.42578125" style="75" customWidth="1"/>
    <col min="1850" max="1850" width="9.140625" style="75" customWidth="1"/>
    <col min="1851" max="1851" width="4.7109375" style="75" customWidth="1"/>
    <col min="1852" max="1852" width="19.5703125" style="75" customWidth="1"/>
    <col min="1853" max="1853" width="8.85546875" style="75" customWidth="1"/>
    <col min="1854" max="1856" width="9.85546875" style="75" customWidth="1"/>
    <col min="1857" max="1857" width="10" style="75" customWidth="1"/>
    <col min="1858" max="1858" width="5.140625" style="75" customWidth="1"/>
    <col min="1859" max="1859" width="10.7109375" style="75" customWidth="1"/>
    <col min="1860" max="1860" width="20.5703125" style="75" customWidth="1"/>
    <col min="1861" max="1861" width="9.140625" style="75" customWidth="1"/>
    <col min="1862" max="1862" width="4.7109375" style="75" customWidth="1"/>
    <col min="1863" max="1863" width="19.5703125" style="75" customWidth="1"/>
    <col min="1864" max="1864" width="8.85546875" style="75" customWidth="1"/>
    <col min="1865" max="1867" width="10.28515625" style="75" customWidth="1"/>
    <col min="1868" max="1868" width="10" style="75" customWidth="1"/>
    <col min="1869" max="1869" width="5.140625" style="75" customWidth="1"/>
    <col min="1870" max="1870" width="10.7109375" style="75" customWidth="1"/>
    <col min="1871" max="1871" width="22" style="75" customWidth="1"/>
    <col min="1872" max="1877" width="9.140625" style="75" customWidth="1"/>
    <col min="1878" max="2075" width="9.140625" style="75"/>
    <col min="2076" max="2076" width="4.7109375" style="75" customWidth="1"/>
    <col min="2077" max="2077" width="24.28515625" style="75" bestFit="1" customWidth="1"/>
    <col min="2078" max="2078" width="9" style="75" customWidth="1"/>
    <col min="2079" max="2079" width="11" style="75" bestFit="1" customWidth="1"/>
    <col min="2080" max="2080" width="10" style="75" customWidth="1"/>
    <col min="2081" max="2081" width="5.140625" style="75" customWidth="1"/>
    <col min="2082" max="2082" width="10.7109375" style="75" customWidth="1"/>
    <col min="2083" max="2083" width="16.7109375" style="75" customWidth="1"/>
    <col min="2084" max="2084" width="9.140625" style="75" customWidth="1"/>
    <col min="2085" max="2085" width="4.7109375" style="75" customWidth="1"/>
    <col min="2086" max="2086" width="19.85546875" style="75" customWidth="1"/>
    <col min="2087" max="2087" width="8.85546875" style="75" customWidth="1"/>
    <col min="2088" max="2088" width="11.85546875" style="75" bestFit="1" customWidth="1"/>
    <col min="2089" max="2090" width="9.85546875" style="75" customWidth="1"/>
    <col min="2091" max="2091" width="10" style="75" customWidth="1"/>
    <col min="2092" max="2092" width="5.140625" style="75" customWidth="1"/>
    <col min="2093" max="2093" width="10.7109375" style="75" customWidth="1"/>
    <col min="2094" max="2094" width="16.42578125" style="75" bestFit="1" customWidth="1"/>
    <col min="2095" max="2095" width="9.140625" style="75" customWidth="1"/>
    <col min="2096" max="2096" width="4.7109375" style="75" customWidth="1"/>
    <col min="2097" max="2097" width="22.140625" style="75" bestFit="1" customWidth="1"/>
    <col min="2098" max="2098" width="8.85546875" style="75" customWidth="1"/>
    <col min="2099" max="2099" width="11.85546875" style="75" bestFit="1" customWidth="1"/>
    <col min="2100" max="2101" width="9.85546875" style="75" customWidth="1"/>
    <col min="2102" max="2102" width="10" style="75" customWidth="1"/>
    <col min="2103" max="2103" width="5.140625" style="75" customWidth="1"/>
    <col min="2104" max="2104" width="10.7109375" style="75" customWidth="1"/>
    <col min="2105" max="2105" width="17.42578125" style="75" customWidth="1"/>
    <col min="2106" max="2106" width="9.140625" style="75" customWidth="1"/>
    <col min="2107" max="2107" width="4.7109375" style="75" customWidth="1"/>
    <col min="2108" max="2108" width="19.5703125" style="75" customWidth="1"/>
    <col min="2109" max="2109" width="8.85546875" style="75" customWidth="1"/>
    <col min="2110" max="2112" width="9.85546875" style="75" customWidth="1"/>
    <col min="2113" max="2113" width="10" style="75" customWidth="1"/>
    <col min="2114" max="2114" width="5.140625" style="75" customWidth="1"/>
    <col min="2115" max="2115" width="10.7109375" style="75" customWidth="1"/>
    <col min="2116" max="2116" width="20.5703125" style="75" customWidth="1"/>
    <col min="2117" max="2117" width="9.140625" style="75" customWidth="1"/>
    <col min="2118" max="2118" width="4.7109375" style="75" customWidth="1"/>
    <col min="2119" max="2119" width="19.5703125" style="75" customWidth="1"/>
    <col min="2120" max="2120" width="8.85546875" style="75" customWidth="1"/>
    <col min="2121" max="2123" width="10.28515625" style="75" customWidth="1"/>
    <col min="2124" max="2124" width="10" style="75" customWidth="1"/>
    <col min="2125" max="2125" width="5.140625" style="75" customWidth="1"/>
    <col min="2126" max="2126" width="10.7109375" style="75" customWidth="1"/>
    <col min="2127" max="2127" width="22" style="75" customWidth="1"/>
    <col min="2128" max="2133" width="9.140625" style="75" customWidth="1"/>
    <col min="2134" max="2331" width="9.140625" style="75"/>
    <col min="2332" max="2332" width="4.7109375" style="75" customWidth="1"/>
    <col min="2333" max="2333" width="24.28515625" style="75" bestFit="1" customWidth="1"/>
    <col min="2334" max="2334" width="9" style="75" customWidth="1"/>
    <col min="2335" max="2335" width="11" style="75" bestFit="1" customWidth="1"/>
    <col min="2336" max="2336" width="10" style="75" customWidth="1"/>
    <col min="2337" max="2337" width="5.140625" style="75" customWidth="1"/>
    <col min="2338" max="2338" width="10.7109375" style="75" customWidth="1"/>
    <col min="2339" max="2339" width="16.7109375" style="75" customWidth="1"/>
    <col min="2340" max="2340" width="9.140625" style="75" customWidth="1"/>
    <col min="2341" max="2341" width="4.7109375" style="75" customWidth="1"/>
    <col min="2342" max="2342" width="19.85546875" style="75" customWidth="1"/>
    <col min="2343" max="2343" width="8.85546875" style="75" customWidth="1"/>
    <col min="2344" max="2344" width="11.85546875" style="75" bestFit="1" customWidth="1"/>
    <col min="2345" max="2346" width="9.85546875" style="75" customWidth="1"/>
    <col min="2347" max="2347" width="10" style="75" customWidth="1"/>
    <col min="2348" max="2348" width="5.140625" style="75" customWidth="1"/>
    <col min="2349" max="2349" width="10.7109375" style="75" customWidth="1"/>
    <col min="2350" max="2350" width="16.42578125" style="75" bestFit="1" customWidth="1"/>
    <col min="2351" max="2351" width="9.140625" style="75" customWidth="1"/>
    <col min="2352" max="2352" width="4.7109375" style="75" customWidth="1"/>
    <col min="2353" max="2353" width="22.140625" style="75" bestFit="1" customWidth="1"/>
    <col min="2354" max="2354" width="8.85546875" style="75" customWidth="1"/>
    <col min="2355" max="2355" width="11.85546875" style="75" bestFit="1" customWidth="1"/>
    <col min="2356" max="2357" width="9.85546875" style="75" customWidth="1"/>
    <col min="2358" max="2358" width="10" style="75" customWidth="1"/>
    <col min="2359" max="2359" width="5.140625" style="75" customWidth="1"/>
    <col min="2360" max="2360" width="10.7109375" style="75" customWidth="1"/>
    <col min="2361" max="2361" width="17.42578125" style="75" customWidth="1"/>
    <col min="2362" max="2362" width="9.140625" style="75" customWidth="1"/>
    <col min="2363" max="2363" width="4.7109375" style="75" customWidth="1"/>
    <col min="2364" max="2364" width="19.5703125" style="75" customWidth="1"/>
    <col min="2365" max="2365" width="8.85546875" style="75" customWidth="1"/>
    <col min="2366" max="2368" width="9.85546875" style="75" customWidth="1"/>
    <col min="2369" max="2369" width="10" style="75" customWidth="1"/>
    <col min="2370" max="2370" width="5.140625" style="75" customWidth="1"/>
    <col min="2371" max="2371" width="10.7109375" style="75" customWidth="1"/>
    <col min="2372" max="2372" width="20.5703125" style="75" customWidth="1"/>
    <col min="2373" max="2373" width="9.140625" style="75" customWidth="1"/>
    <col min="2374" max="2374" width="4.7109375" style="75" customWidth="1"/>
    <col min="2375" max="2375" width="19.5703125" style="75" customWidth="1"/>
    <col min="2376" max="2376" width="8.85546875" style="75" customWidth="1"/>
    <col min="2377" max="2379" width="10.28515625" style="75" customWidth="1"/>
    <col min="2380" max="2380" width="10" style="75" customWidth="1"/>
    <col min="2381" max="2381" width="5.140625" style="75" customWidth="1"/>
    <col min="2382" max="2382" width="10.7109375" style="75" customWidth="1"/>
    <col min="2383" max="2383" width="22" style="75" customWidth="1"/>
    <col min="2384" max="2389" width="9.140625" style="75" customWidth="1"/>
    <col min="2390" max="2587" width="9.140625" style="75"/>
    <col min="2588" max="2588" width="4.7109375" style="75" customWidth="1"/>
    <col min="2589" max="2589" width="24.28515625" style="75" bestFit="1" customWidth="1"/>
    <col min="2590" max="2590" width="9" style="75" customWidth="1"/>
    <col min="2591" max="2591" width="11" style="75" bestFit="1" customWidth="1"/>
    <col min="2592" max="2592" width="10" style="75" customWidth="1"/>
    <col min="2593" max="2593" width="5.140625" style="75" customWidth="1"/>
    <col min="2594" max="2594" width="10.7109375" style="75" customWidth="1"/>
    <col min="2595" max="2595" width="16.7109375" style="75" customWidth="1"/>
    <col min="2596" max="2596" width="9.140625" style="75" customWidth="1"/>
    <col min="2597" max="2597" width="4.7109375" style="75" customWidth="1"/>
    <col min="2598" max="2598" width="19.85546875" style="75" customWidth="1"/>
    <col min="2599" max="2599" width="8.85546875" style="75" customWidth="1"/>
    <col min="2600" max="2600" width="11.85546875" style="75" bestFit="1" customWidth="1"/>
    <col min="2601" max="2602" width="9.85546875" style="75" customWidth="1"/>
    <col min="2603" max="2603" width="10" style="75" customWidth="1"/>
    <col min="2604" max="2604" width="5.140625" style="75" customWidth="1"/>
    <col min="2605" max="2605" width="10.7109375" style="75" customWidth="1"/>
    <col min="2606" max="2606" width="16.42578125" style="75" bestFit="1" customWidth="1"/>
    <col min="2607" max="2607" width="9.140625" style="75" customWidth="1"/>
    <col min="2608" max="2608" width="4.7109375" style="75" customWidth="1"/>
    <col min="2609" max="2609" width="22.140625" style="75" bestFit="1" customWidth="1"/>
    <col min="2610" max="2610" width="8.85546875" style="75" customWidth="1"/>
    <col min="2611" max="2611" width="11.85546875" style="75" bestFit="1" customWidth="1"/>
    <col min="2612" max="2613" width="9.85546875" style="75" customWidth="1"/>
    <col min="2614" max="2614" width="10" style="75" customWidth="1"/>
    <col min="2615" max="2615" width="5.140625" style="75" customWidth="1"/>
    <col min="2616" max="2616" width="10.7109375" style="75" customWidth="1"/>
    <col min="2617" max="2617" width="17.42578125" style="75" customWidth="1"/>
    <col min="2618" max="2618" width="9.140625" style="75" customWidth="1"/>
    <col min="2619" max="2619" width="4.7109375" style="75" customWidth="1"/>
    <col min="2620" max="2620" width="19.5703125" style="75" customWidth="1"/>
    <col min="2621" max="2621" width="8.85546875" style="75" customWidth="1"/>
    <col min="2622" max="2624" width="9.85546875" style="75" customWidth="1"/>
    <col min="2625" max="2625" width="10" style="75" customWidth="1"/>
    <col min="2626" max="2626" width="5.140625" style="75" customWidth="1"/>
    <col min="2627" max="2627" width="10.7109375" style="75" customWidth="1"/>
    <col min="2628" max="2628" width="20.5703125" style="75" customWidth="1"/>
    <col min="2629" max="2629" width="9.140625" style="75" customWidth="1"/>
    <col min="2630" max="2630" width="4.7109375" style="75" customWidth="1"/>
    <col min="2631" max="2631" width="19.5703125" style="75" customWidth="1"/>
    <col min="2632" max="2632" width="8.85546875" style="75" customWidth="1"/>
    <col min="2633" max="2635" width="10.28515625" style="75" customWidth="1"/>
    <col min="2636" max="2636" width="10" style="75" customWidth="1"/>
    <col min="2637" max="2637" width="5.140625" style="75" customWidth="1"/>
    <col min="2638" max="2638" width="10.7109375" style="75" customWidth="1"/>
    <col min="2639" max="2639" width="22" style="75" customWidth="1"/>
    <col min="2640" max="2645" width="9.140625" style="75" customWidth="1"/>
    <col min="2646" max="2843" width="9.140625" style="75"/>
    <col min="2844" max="2844" width="4.7109375" style="75" customWidth="1"/>
    <col min="2845" max="2845" width="24.28515625" style="75" bestFit="1" customWidth="1"/>
    <col min="2846" max="2846" width="9" style="75" customWidth="1"/>
    <col min="2847" max="2847" width="11" style="75" bestFit="1" customWidth="1"/>
    <col min="2848" max="2848" width="10" style="75" customWidth="1"/>
    <col min="2849" max="2849" width="5.140625" style="75" customWidth="1"/>
    <col min="2850" max="2850" width="10.7109375" style="75" customWidth="1"/>
    <col min="2851" max="2851" width="16.7109375" style="75" customWidth="1"/>
    <col min="2852" max="2852" width="9.140625" style="75" customWidth="1"/>
    <col min="2853" max="2853" width="4.7109375" style="75" customWidth="1"/>
    <col min="2854" max="2854" width="19.85546875" style="75" customWidth="1"/>
    <col min="2855" max="2855" width="8.85546875" style="75" customWidth="1"/>
    <col min="2856" max="2856" width="11.85546875" style="75" bestFit="1" customWidth="1"/>
    <col min="2857" max="2858" width="9.85546875" style="75" customWidth="1"/>
    <col min="2859" max="2859" width="10" style="75" customWidth="1"/>
    <col min="2860" max="2860" width="5.140625" style="75" customWidth="1"/>
    <col min="2861" max="2861" width="10.7109375" style="75" customWidth="1"/>
    <col min="2862" max="2862" width="16.42578125" style="75" bestFit="1" customWidth="1"/>
    <col min="2863" max="2863" width="9.140625" style="75" customWidth="1"/>
    <col min="2864" max="2864" width="4.7109375" style="75" customWidth="1"/>
    <col min="2865" max="2865" width="22.140625" style="75" bestFit="1" customWidth="1"/>
    <col min="2866" max="2866" width="8.85546875" style="75" customWidth="1"/>
    <col min="2867" max="2867" width="11.85546875" style="75" bestFit="1" customWidth="1"/>
    <col min="2868" max="2869" width="9.85546875" style="75" customWidth="1"/>
    <col min="2870" max="2870" width="10" style="75" customWidth="1"/>
    <col min="2871" max="2871" width="5.140625" style="75" customWidth="1"/>
    <col min="2872" max="2872" width="10.7109375" style="75" customWidth="1"/>
    <col min="2873" max="2873" width="17.42578125" style="75" customWidth="1"/>
    <col min="2874" max="2874" width="9.140625" style="75" customWidth="1"/>
    <col min="2875" max="2875" width="4.7109375" style="75" customWidth="1"/>
    <col min="2876" max="2876" width="19.5703125" style="75" customWidth="1"/>
    <col min="2877" max="2877" width="8.85546875" style="75" customWidth="1"/>
    <col min="2878" max="2880" width="9.85546875" style="75" customWidth="1"/>
    <col min="2881" max="2881" width="10" style="75" customWidth="1"/>
    <col min="2882" max="2882" width="5.140625" style="75" customWidth="1"/>
    <col min="2883" max="2883" width="10.7109375" style="75" customWidth="1"/>
    <col min="2884" max="2884" width="20.5703125" style="75" customWidth="1"/>
    <col min="2885" max="2885" width="9.140625" style="75" customWidth="1"/>
    <col min="2886" max="2886" width="4.7109375" style="75" customWidth="1"/>
    <col min="2887" max="2887" width="19.5703125" style="75" customWidth="1"/>
    <col min="2888" max="2888" width="8.85546875" style="75" customWidth="1"/>
    <col min="2889" max="2891" width="10.28515625" style="75" customWidth="1"/>
    <col min="2892" max="2892" width="10" style="75" customWidth="1"/>
    <col min="2893" max="2893" width="5.140625" style="75" customWidth="1"/>
    <col min="2894" max="2894" width="10.7109375" style="75" customWidth="1"/>
    <col min="2895" max="2895" width="22" style="75" customWidth="1"/>
    <col min="2896" max="2901" width="9.140625" style="75" customWidth="1"/>
    <col min="2902" max="3099" width="9.140625" style="75"/>
    <col min="3100" max="3100" width="4.7109375" style="75" customWidth="1"/>
    <col min="3101" max="3101" width="24.28515625" style="75" bestFit="1" customWidth="1"/>
    <col min="3102" max="3102" width="9" style="75" customWidth="1"/>
    <col min="3103" max="3103" width="11" style="75" bestFit="1" customWidth="1"/>
    <col min="3104" max="3104" width="10" style="75" customWidth="1"/>
    <col min="3105" max="3105" width="5.140625" style="75" customWidth="1"/>
    <col min="3106" max="3106" width="10.7109375" style="75" customWidth="1"/>
    <col min="3107" max="3107" width="16.7109375" style="75" customWidth="1"/>
    <col min="3108" max="3108" width="9.140625" style="75" customWidth="1"/>
    <col min="3109" max="3109" width="4.7109375" style="75" customWidth="1"/>
    <col min="3110" max="3110" width="19.85546875" style="75" customWidth="1"/>
    <col min="3111" max="3111" width="8.85546875" style="75" customWidth="1"/>
    <col min="3112" max="3112" width="11.85546875" style="75" bestFit="1" customWidth="1"/>
    <col min="3113" max="3114" width="9.85546875" style="75" customWidth="1"/>
    <col min="3115" max="3115" width="10" style="75" customWidth="1"/>
    <col min="3116" max="3116" width="5.140625" style="75" customWidth="1"/>
    <col min="3117" max="3117" width="10.7109375" style="75" customWidth="1"/>
    <col min="3118" max="3118" width="16.42578125" style="75" bestFit="1" customWidth="1"/>
    <col min="3119" max="3119" width="9.140625" style="75" customWidth="1"/>
    <col min="3120" max="3120" width="4.7109375" style="75" customWidth="1"/>
    <col min="3121" max="3121" width="22.140625" style="75" bestFit="1" customWidth="1"/>
    <col min="3122" max="3122" width="8.85546875" style="75" customWidth="1"/>
    <col min="3123" max="3123" width="11.85546875" style="75" bestFit="1" customWidth="1"/>
    <col min="3124" max="3125" width="9.85546875" style="75" customWidth="1"/>
    <col min="3126" max="3126" width="10" style="75" customWidth="1"/>
    <col min="3127" max="3127" width="5.140625" style="75" customWidth="1"/>
    <col min="3128" max="3128" width="10.7109375" style="75" customWidth="1"/>
    <col min="3129" max="3129" width="17.42578125" style="75" customWidth="1"/>
    <col min="3130" max="3130" width="9.140625" style="75" customWidth="1"/>
    <col min="3131" max="3131" width="4.7109375" style="75" customWidth="1"/>
    <col min="3132" max="3132" width="19.5703125" style="75" customWidth="1"/>
    <col min="3133" max="3133" width="8.85546875" style="75" customWidth="1"/>
    <col min="3134" max="3136" width="9.85546875" style="75" customWidth="1"/>
    <col min="3137" max="3137" width="10" style="75" customWidth="1"/>
    <col min="3138" max="3138" width="5.140625" style="75" customWidth="1"/>
    <col min="3139" max="3139" width="10.7109375" style="75" customWidth="1"/>
    <col min="3140" max="3140" width="20.5703125" style="75" customWidth="1"/>
    <col min="3141" max="3141" width="9.140625" style="75" customWidth="1"/>
    <col min="3142" max="3142" width="4.7109375" style="75" customWidth="1"/>
    <col min="3143" max="3143" width="19.5703125" style="75" customWidth="1"/>
    <col min="3144" max="3144" width="8.85546875" style="75" customWidth="1"/>
    <col min="3145" max="3147" width="10.28515625" style="75" customWidth="1"/>
    <col min="3148" max="3148" width="10" style="75" customWidth="1"/>
    <col min="3149" max="3149" width="5.140625" style="75" customWidth="1"/>
    <col min="3150" max="3150" width="10.7109375" style="75" customWidth="1"/>
    <col min="3151" max="3151" width="22" style="75" customWidth="1"/>
    <col min="3152" max="3157" width="9.140625" style="75" customWidth="1"/>
    <col min="3158" max="3355" width="9.140625" style="75"/>
    <col min="3356" max="3356" width="4.7109375" style="75" customWidth="1"/>
    <col min="3357" max="3357" width="24.28515625" style="75" bestFit="1" customWidth="1"/>
    <col min="3358" max="3358" width="9" style="75" customWidth="1"/>
    <col min="3359" max="3359" width="11" style="75" bestFit="1" customWidth="1"/>
    <col min="3360" max="3360" width="10" style="75" customWidth="1"/>
    <col min="3361" max="3361" width="5.140625" style="75" customWidth="1"/>
    <col min="3362" max="3362" width="10.7109375" style="75" customWidth="1"/>
    <col min="3363" max="3363" width="16.7109375" style="75" customWidth="1"/>
    <col min="3364" max="3364" width="9.140625" style="75" customWidth="1"/>
    <col min="3365" max="3365" width="4.7109375" style="75" customWidth="1"/>
    <col min="3366" max="3366" width="19.85546875" style="75" customWidth="1"/>
    <col min="3367" max="3367" width="8.85546875" style="75" customWidth="1"/>
    <col min="3368" max="3368" width="11.85546875" style="75" bestFit="1" customWidth="1"/>
    <col min="3369" max="3370" width="9.85546875" style="75" customWidth="1"/>
    <col min="3371" max="3371" width="10" style="75" customWidth="1"/>
    <col min="3372" max="3372" width="5.140625" style="75" customWidth="1"/>
    <col min="3373" max="3373" width="10.7109375" style="75" customWidth="1"/>
    <col min="3374" max="3374" width="16.42578125" style="75" bestFit="1" customWidth="1"/>
    <col min="3375" max="3375" width="9.140625" style="75" customWidth="1"/>
    <col min="3376" max="3376" width="4.7109375" style="75" customWidth="1"/>
    <col min="3377" max="3377" width="22.140625" style="75" bestFit="1" customWidth="1"/>
    <col min="3378" max="3378" width="8.85546875" style="75" customWidth="1"/>
    <col min="3379" max="3379" width="11.85546875" style="75" bestFit="1" customWidth="1"/>
    <col min="3380" max="3381" width="9.85546875" style="75" customWidth="1"/>
    <col min="3382" max="3382" width="10" style="75" customWidth="1"/>
    <col min="3383" max="3383" width="5.140625" style="75" customWidth="1"/>
    <col min="3384" max="3384" width="10.7109375" style="75" customWidth="1"/>
    <col min="3385" max="3385" width="17.42578125" style="75" customWidth="1"/>
    <col min="3386" max="3386" width="9.140625" style="75" customWidth="1"/>
    <col min="3387" max="3387" width="4.7109375" style="75" customWidth="1"/>
    <col min="3388" max="3388" width="19.5703125" style="75" customWidth="1"/>
    <col min="3389" max="3389" width="8.85546875" style="75" customWidth="1"/>
    <col min="3390" max="3392" width="9.85546875" style="75" customWidth="1"/>
    <col min="3393" max="3393" width="10" style="75" customWidth="1"/>
    <col min="3394" max="3394" width="5.140625" style="75" customWidth="1"/>
    <col min="3395" max="3395" width="10.7109375" style="75" customWidth="1"/>
    <col min="3396" max="3396" width="20.5703125" style="75" customWidth="1"/>
    <col min="3397" max="3397" width="9.140625" style="75" customWidth="1"/>
    <col min="3398" max="3398" width="4.7109375" style="75" customWidth="1"/>
    <col min="3399" max="3399" width="19.5703125" style="75" customWidth="1"/>
    <col min="3400" max="3400" width="8.85546875" style="75" customWidth="1"/>
    <col min="3401" max="3403" width="10.28515625" style="75" customWidth="1"/>
    <col min="3404" max="3404" width="10" style="75" customWidth="1"/>
    <col min="3405" max="3405" width="5.140625" style="75" customWidth="1"/>
    <col min="3406" max="3406" width="10.7109375" style="75" customWidth="1"/>
    <col min="3407" max="3407" width="22" style="75" customWidth="1"/>
    <col min="3408" max="3413" width="9.140625" style="75" customWidth="1"/>
    <col min="3414" max="3611" width="9.140625" style="75"/>
    <col min="3612" max="3612" width="4.7109375" style="75" customWidth="1"/>
    <col min="3613" max="3613" width="24.28515625" style="75" bestFit="1" customWidth="1"/>
    <col min="3614" max="3614" width="9" style="75" customWidth="1"/>
    <col min="3615" max="3615" width="11" style="75" bestFit="1" customWidth="1"/>
    <col min="3616" max="3616" width="10" style="75" customWidth="1"/>
    <col min="3617" max="3617" width="5.140625" style="75" customWidth="1"/>
    <col min="3618" max="3618" width="10.7109375" style="75" customWidth="1"/>
    <col min="3619" max="3619" width="16.7109375" style="75" customWidth="1"/>
    <col min="3620" max="3620" width="9.140625" style="75" customWidth="1"/>
    <col min="3621" max="3621" width="4.7109375" style="75" customWidth="1"/>
    <col min="3622" max="3622" width="19.85546875" style="75" customWidth="1"/>
    <col min="3623" max="3623" width="8.85546875" style="75" customWidth="1"/>
    <col min="3624" max="3624" width="11.85546875" style="75" bestFit="1" customWidth="1"/>
    <col min="3625" max="3626" width="9.85546875" style="75" customWidth="1"/>
    <col min="3627" max="3627" width="10" style="75" customWidth="1"/>
    <col min="3628" max="3628" width="5.140625" style="75" customWidth="1"/>
    <col min="3629" max="3629" width="10.7109375" style="75" customWidth="1"/>
    <col min="3630" max="3630" width="16.42578125" style="75" bestFit="1" customWidth="1"/>
    <col min="3631" max="3631" width="9.140625" style="75" customWidth="1"/>
    <col min="3632" max="3632" width="4.7109375" style="75" customWidth="1"/>
    <col min="3633" max="3633" width="22.140625" style="75" bestFit="1" customWidth="1"/>
    <col min="3634" max="3634" width="8.85546875" style="75" customWidth="1"/>
    <col min="3635" max="3635" width="11.85546875" style="75" bestFit="1" customWidth="1"/>
    <col min="3636" max="3637" width="9.85546875" style="75" customWidth="1"/>
    <col min="3638" max="3638" width="10" style="75" customWidth="1"/>
    <col min="3639" max="3639" width="5.140625" style="75" customWidth="1"/>
    <col min="3640" max="3640" width="10.7109375" style="75" customWidth="1"/>
    <col min="3641" max="3641" width="17.42578125" style="75" customWidth="1"/>
    <col min="3642" max="3642" width="9.140625" style="75" customWidth="1"/>
    <col min="3643" max="3643" width="4.7109375" style="75" customWidth="1"/>
    <col min="3644" max="3644" width="19.5703125" style="75" customWidth="1"/>
    <col min="3645" max="3645" width="8.85546875" style="75" customWidth="1"/>
    <col min="3646" max="3648" width="9.85546875" style="75" customWidth="1"/>
    <col min="3649" max="3649" width="10" style="75" customWidth="1"/>
    <col min="3650" max="3650" width="5.140625" style="75" customWidth="1"/>
    <col min="3651" max="3651" width="10.7109375" style="75" customWidth="1"/>
    <col min="3652" max="3652" width="20.5703125" style="75" customWidth="1"/>
    <col min="3653" max="3653" width="9.140625" style="75" customWidth="1"/>
    <col min="3654" max="3654" width="4.7109375" style="75" customWidth="1"/>
    <col min="3655" max="3655" width="19.5703125" style="75" customWidth="1"/>
    <col min="3656" max="3656" width="8.85546875" style="75" customWidth="1"/>
    <col min="3657" max="3659" width="10.28515625" style="75" customWidth="1"/>
    <col min="3660" max="3660" width="10" style="75" customWidth="1"/>
    <col min="3661" max="3661" width="5.140625" style="75" customWidth="1"/>
    <col min="3662" max="3662" width="10.7109375" style="75" customWidth="1"/>
    <col min="3663" max="3663" width="22" style="75" customWidth="1"/>
    <col min="3664" max="3669" width="9.140625" style="75" customWidth="1"/>
    <col min="3670" max="3867" width="9.140625" style="75"/>
    <col min="3868" max="3868" width="4.7109375" style="75" customWidth="1"/>
    <col min="3869" max="3869" width="24.28515625" style="75" bestFit="1" customWidth="1"/>
    <col min="3870" max="3870" width="9" style="75" customWidth="1"/>
    <col min="3871" max="3871" width="11" style="75" bestFit="1" customWidth="1"/>
    <col min="3872" max="3872" width="10" style="75" customWidth="1"/>
    <col min="3873" max="3873" width="5.140625" style="75" customWidth="1"/>
    <col min="3874" max="3874" width="10.7109375" style="75" customWidth="1"/>
    <col min="3875" max="3875" width="16.7109375" style="75" customWidth="1"/>
    <col min="3876" max="3876" width="9.140625" style="75" customWidth="1"/>
    <col min="3877" max="3877" width="4.7109375" style="75" customWidth="1"/>
    <col min="3878" max="3878" width="19.85546875" style="75" customWidth="1"/>
    <col min="3879" max="3879" width="8.85546875" style="75" customWidth="1"/>
    <col min="3880" max="3880" width="11.85546875" style="75" bestFit="1" customWidth="1"/>
    <col min="3881" max="3882" width="9.85546875" style="75" customWidth="1"/>
    <col min="3883" max="3883" width="10" style="75" customWidth="1"/>
    <col min="3884" max="3884" width="5.140625" style="75" customWidth="1"/>
    <col min="3885" max="3885" width="10.7109375" style="75" customWidth="1"/>
    <col min="3886" max="3886" width="16.42578125" style="75" bestFit="1" customWidth="1"/>
    <col min="3887" max="3887" width="9.140625" style="75" customWidth="1"/>
    <col min="3888" max="3888" width="4.7109375" style="75" customWidth="1"/>
    <col min="3889" max="3889" width="22.140625" style="75" bestFit="1" customWidth="1"/>
    <col min="3890" max="3890" width="8.85546875" style="75" customWidth="1"/>
    <col min="3891" max="3891" width="11.85546875" style="75" bestFit="1" customWidth="1"/>
    <col min="3892" max="3893" width="9.85546875" style="75" customWidth="1"/>
    <col min="3894" max="3894" width="10" style="75" customWidth="1"/>
    <col min="3895" max="3895" width="5.140625" style="75" customWidth="1"/>
    <col min="3896" max="3896" width="10.7109375" style="75" customWidth="1"/>
    <col min="3897" max="3897" width="17.42578125" style="75" customWidth="1"/>
    <col min="3898" max="3898" width="9.140625" style="75" customWidth="1"/>
    <col min="3899" max="3899" width="4.7109375" style="75" customWidth="1"/>
    <col min="3900" max="3900" width="19.5703125" style="75" customWidth="1"/>
    <col min="3901" max="3901" width="8.85546875" style="75" customWidth="1"/>
    <col min="3902" max="3904" width="9.85546875" style="75" customWidth="1"/>
    <col min="3905" max="3905" width="10" style="75" customWidth="1"/>
    <col min="3906" max="3906" width="5.140625" style="75" customWidth="1"/>
    <col min="3907" max="3907" width="10.7109375" style="75" customWidth="1"/>
    <col min="3908" max="3908" width="20.5703125" style="75" customWidth="1"/>
    <col min="3909" max="3909" width="9.140625" style="75" customWidth="1"/>
    <col min="3910" max="3910" width="4.7109375" style="75" customWidth="1"/>
    <col min="3911" max="3911" width="19.5703125" style="75" customWidth="1"/>
    <col min="3912" max="3912" width="8.85546875" style="75" customWidth="1"/>
    <col min="3913" max="3915" width="10.28515625" style="75" customWidth="1"/>
    <col min="3916" max="3916" width="10" style="75" customWidth="1"/>
    <col min="3917" max="3917" width="5.140625" style="75" customWidth="1"/>
    <col min="3918" max="3918" width="10.7109375" style="75" customWidth="1"/>
    <col min="3919" max="3919" width="22" style="75" customWidth="1"/>
    <col min="3920" max="3925" width="9.140625" style="75" customWidth="1"/>
    <col min="3926" max="4123" width="9.140625" style="75"/>
    <col min="4124" max="4124" width="4.7109375" style="75" customWidth="1"/>
    <col min="4125" max="4125" width="24.28515625" style="75" bestFit="1" customWidth="1"/>
    <col min="4126" max="4126" width="9" style="75" customWidth="1"/>
    <col min="4127" max="4127" width="11" style="75" bestFit="1" customWidth="1"/>
    <col min="4128" max="4128" width="10" style="75" customWidth="1"/>
    <col min="4129" max="4129" width="5.140625" style="75" customWidth="1"/>
    <col min="4130" max="4130" width="10.7109375" style="75" customWidth="1"/>
    <col min="4131" max="4131" width="16.7109375" style="75" customWidth="1"/>
    <col min="4132" max="4132" width="9.140625" style="75" customWidth="1"/>
    <col min="4133" max="4133" width="4.7109375" style="75" customWidth="1"/>
    <col min="4134" max="4134" width="19.85546875" style="75" customWidth="1"/>
    <col min="4135" max="4135" width="8.85546875" style="75" customWidth="1"/>
    <col min="4136" max="4136" width="11.85546875" style="75" bestFit="1" customWidth="1"/>
    <col min="4137" max="4138" width="9.85546875" style="75" customWidth="1"/>
    <col min="4139" max="4139" width="10" style="75" customWidth="1"/>
    <col min="4140" max="4140" width="5.140625" style="75" customWidth="1"/>
    <col min="4141" max="4141" width="10.7109375" style="75" customWidth="1"/>
    <col min="4142" max="4142" width="16.42578125" style="75" bestFit="1" customWidth="1"/>
    <col min="4143" max="4143" width="9.140625" style="75" customWidth="1"/>
    <col min="4144" max="4144" width="4.7109375" style="75" customWidth="1"/>
    <col min="4145" max="4145" width="22.140625" style="75" bestFit="1" customWidth="1"/>
    <col min="4146" max="4146" width="8.85546875" style="75" customWidth="1"/>
    <col min="4147" max="4147" width="11.85546875" style="75" bestFit="1" customWidth="1"/>
    <col min="4148" max="4149" width="9.85546875" style="75" customWidth="1"/>
    <col min="4150" max="4150" width="10" style="75" customWidth="1"/>
    <col min="4151" max="4151" width="5.140625" style="75" customWidth="1"/>
    <col min="4152" max="4152" width="10.7109375" style="75" customWidth="1"/>
    <col min="4153" max="4153" width="17.42578125" style="75" customWidth="1"/>
    <col min="4154" max="4154" width="9.140625" style="75" customWidth="1"/>
    <col min="4155" max="4155" width="4.7109375" style="75" customWidth="1"/>
    <col min="4156" max="4156" width="19.5703125" style="75" customWidth="1"/>
    <col min="4157" max="4157" width="8.85546875" style="75" customWidth="1"/>
    <col min="4158" max="4160" width="9.85546875" style="75" customWidth="1"/>
    <col min="4161" max="4161" width="10" style="75" customWidth="1"/>
    <col min="4162" max="4162" width="5.140625" style="75" customWidth="1"/>
    <col min="4163" max="4163" width="10.7109375" style="75" customWidth="1"/>
    <col min="4164" max="4164" width="20.5703125" style="75" customWidth="1"/>
    <col min="4165" max="4165" width="9.140625" style="75" customWidth="1"/>
    <col min="4166" max="4166" width="4.7109375" style="75" customWidth="1"/>
    <col min="4167" max="4167" width="19.5703125" style="75" customWidth="1"/>
    <col min="4168" max="4168" width="8.85546875" style="75" customWidth="1"/>
    <col min="4169" max="4171" width="10.28515625" style="75" customWidth="1"/>
    <col min="4172" max="4172" width="10" style="75" customWidth="1"/>
    <col min="4173" max="4173" width="5.140625" style="75" customWidth="1"/>
    <col min="4174" max="4174" width="10.7109375" style="75" customWidth="1"/>
    <col min="4175" max="4175" width="22" style="75" customWidth="1"/>
    <col min="4176" max="4181" width="9.140625" style="75" customWidth="1"/>
    <col min="4182" max="4379" width="9.140625" style="75"/>
    <col min="4380" max="4380" width="4.7109375" style="75" customWidth="1"/>
    <col min="4381" max="4381" width="24.28515625" style="75" bestFit="1" customWidth="1"/>
    <col min="4382" max="4382" width="9" style="75" customWidth="1"/>
    <col min="4383" max="4383" width="11" style="75" bestFit="1" customWidth="1"/>
    <col min="4384" max="4384" width="10" style="75" customWidth="1"/>
    <col min="4385" max="4385" width="5.140625" style="75" customWidth="1"/>
    <col min="4386" max="4386" width="10.7109375" style="75" customWidth="1"/>
    <col min="4387" max="4387" width="16.7109375" style="75" customWidth="1"/>
    <col min="4388" max="4388" width="9.140625" style="75" customWidth="1"/>
    <col min="4389" max="4389" width="4.7109375" style="75" customWidth="1"/>
    <col min="4390" max="4390" width="19.85546875" style="75" customWidth="1"/>
    <col min="4391" max="4391" width="8.85546875" style="75" customWidth="1"/>
    <col min="4392" max="4392" width="11.85546875" style="75" bestFit="1" customWidth="1"/>
    <col min="4393" max="4394" width="9.85546875" style="75" customWidth="1"/>
    <col min="4395" max="4395" width="10" style="75" customWidth="1"/>
    <col min="4396" max="4396" width="5.140625" style="75" customWidth="1"/>
    <col min="4397" max="4397" width="10.7109375" style="75" customWidth="1"/>
    <col min="4398" max="4398" width="16.42578125" style="75" bestFit="1" customWidth="1"/>
    <col min="4399" max="4399" width="9.140625" style="75" customWidth="1"/>
    <col min="4400" max="4400" width="4.7109375" style="75" customWidth="1"/>
    <col min="4401" max="4401" width="22.140625" style="75" bestFit="1" customWidth="1"/>
    <col min="4402" max="4402" width="8.85546875" style="75" customWidth="1"/>
    <col min="4403" max="4403" width="11.85546875" style="75" bestFit="1" customWidth="1"/>
    <col min="4404" max="4405" width="9.85546875" style="75" customWidth="1"/>
    <col min="4406" max="4406" width="10" style="75" customWidth="1"/>
    <col min="4407" max="4407" width="5.140625" style="75" customWidth="1"/>
    <col min="4408" max="4408" width="10.7109375" style="75" customWidth="1"/>
    <col min="4409" max="4409" width="17.42578125" style="75" customWidth="1"/>
    <col min="4410" max="4410" width="9.140625" style="75" customWidth="1"/>
    <col min="4411" max="4411" width="4.7109375" style="75" customWidth="1"/>
    <col min="4412" max="4412" width="19.5703125" style="75" customWidth="1"/>
    <col min="4413" max="4413" width="8.85546875" style="75" customWidth="1"/>
    <col min="4414" max="4416" width="9.85546875" style="75" customWidth="1"/>
    <col min="4417" max="4417" width="10" style="75" customWidth="1"/>
    <col min="4418" max="4418" width="5.140625" style="75" customWidth="1"/>
    <col min="4419" max="4419" width="10.7109375" style="75" customWidth="1"/>
    <col min="4420" max="4420" width="20.5703125" style="75" customWidth="1"/>
    <col min="4421" max="4421" width="9.140625" style="75" customWidth="1"/>
    <col min="4422" max="4422" width="4.7109375" style="75" customWidth="1"/>
    <col min="4423" max="4423" width="19.5703125" style="75" customWidth="1"/>
    <col min="4424" max="4424" width="8.85546875" style="75" customWidth="1"/>
    <col min="4425" max="4427" width="10.28515625" style="75" customWidth="1"/>
    <col min="4428" max="4428" width="10" style="75" customWidth="1"/>
    <col min="4429" max="4429" width="5.140625" style="75" customWidth="1"/>
    <col min="4430" max="4430" width="10.7109375" style="75" customWidth="1"/>
    <col min="4431" max="4431" width="22" style="75" customWidth="1"/>
    <col min="4432" max="4437" width="9.140625" style="75" customWidth="1"/>
    <col min="4438" max="4635" width="9.140625" style="75"/>
    <col min="4636" max="4636" width="4.7109375" style="75" customWidth="1"/>
    <col min="4637" max="4637" width="24.28515625" style="75" bestFit="1" customWidth="1"/>
    <col min="4638" max="4638" width="9" style="75" customWidth="1"/>
    <col min="4639" max="4639" width="11" style="75" bestFit="1" customWidth="1"/>
    <col min="4640" max="4640" width="10" style="75" customWidth="1"/>
    <col min="4641" max="4641" width="5.140625" style="75" customWidth="1"/>
    <col min="4642" max="4642" width="10.7109375" style="75" customWidth="1"/>
    <col min="4643" max="4643" width="16.7109375" style="75" customWidth="1"/>
    <col min="4644" max="4644" width="9.140625" style="75" customWidth="1"/>
    <col min="4645" max="4645" width="4.7109375" style="75" customWidth="1"/>
    <col min="4646" max="4646" width="19.85546875" style="75" customWidth="1"/>
    <col min="4647" max="4647" width="8.85546875" style="75" customWidth="1"/>
    <col min="4648" max="4648" width="11.85546875" style="75" bestFit="1" customWidth="1"/>
    <col min="4649" max="4650" width="9.85546875" style="75" customWidth="1"/>
    <col min="4651" max="4651" width="10" style="75" customWidth="1"/>
    <col min="4652" max="4652" width="5.140625" style="75" customWidth="1"/>
    <col min="4653" max="4653" width="10.7109375" style="75" customWidth="1"/>
    <col min="4654" max="4654" width="16.42578125" style="75" bestFit="1" customWidth="1"/>
    <col min="4655" max="4655" width="9.140625" style="75" customWidth="1"/>
    <col min="4656" max="4656" width="4.7109375" style="75" customWidth="1"/>
    <col min="4657" max="4657" width="22.140625" style="75" bestFit="1" customWidth="1"/>
    <col min="4658" max="4658" width="8.85546875" style="75" customWidth="1"/>
    <col min="4659" max="4659" width="11.85546875" style="75" bestFit="1" customWidth="1"/>
    <col min="4660" max="4661" width="9.85546875" style="75" customWidth="1"/>
    <col min="4662" max="4662" width="10" style="75" customWidth="1"/>
    <col min="4663" max="4663" width="5.140625" style="75" customWidth="1"/>
    <col min="4664" max="4664" width="10.7109375" style="75" customWidth="1"/>
    <col min="4665" max="4665" width="17.42578125" style="75" customWidth="1"/>
    <col min="4666" max="4666" width="9.140625" style="75" customWidth="1"/>
    <col min="4667" max="4667" width="4.7109375" style="75" customWidth="1"/>
    <col min="4668" max="4668" width="19.5703125" style="75" customWidth="1"/>
    <col min="4669" max="4669" width="8.85546875" style="75" customWidth="1"/>
    <col min="4670" max="4672" width="9.85546875" style="75" customWidth="1"/>
    <col min="4673" max="4673" width="10" style="75" customWidth="1"/>
    <col min="4674" max="4674" width="5.140625" style="75" customWidth="1"/>
    <col min="4675" max="4675" width="10.7109375" style="75" customWidth="1"/>
    <col min="4676" max="4676" width="20.5703125" style="75" customWidth="1"/>
    <col min="4677" max="4677" width="9.140625" style="75" customWidth="1"/>
    <col min="4678" max="4678" width="4.7109375" style="75" customWidth="1"/>
    <col min="4679" max="4679" width="19.5703125" style="75" customWidth="1"/>
    <col min="4680" max="4680" width="8.85546875" style="75" customWidth="1"/>
    <col min="4681" max="4683" width="10.28515625" style="75" customWidth="1"/>
    <col min="4684" max="4684" width="10" style="75" customWidth="1"/>
    <col min="4685" max="4685" width="5.140625" style="75" customWidth="1"/>
    <col min="4686" max="4686" width="10.7109375" style="75" customWidth="1"/>
    <col min="4687" max="4687" width="22" style="75" customWidth="1"/>
    <col min="4688" max="4693" width="9.140625" style="75" customWidth="1"/>
    <col min="4694" max="4891" width="9.140625" style="75"/>
    <col min="4892" max="4892" width="4.7109375" style="75" customWidth="1"/>
    <col min="4893" max="4893" width="24.28515625" style="75" bestFit="1" customWidth="1"/>
    <col min="4894" max="4894" width="9" style="75" customWidth="1"/>
    <col min="4895" max="4895" width="11" style="75" bestFit="1" customWidth="1"/>
    <col min="4896" max="4896" width="10" style="75" customWidth="1"/>
    <col min="4897" max="4897" width="5.140625" style="75" customWidth="1"/>
    <col min="4898" max="4898" width="10.7109375" style="75" customWidth="1"/>
    <col min="4899" max="4899" width="16.7109375" style="75" customWidth="1"/>
    <col min="4900" max="4900" width="9.140625" style="75" customWidth="1"/>
    <col min="4901" max="4901" width="4.7109375" style="75" customWidth="1"/>
    <col min="4902" max="4902" width="19.85546875" style="75" customWidth="1"/>
    <col min="4903" max="4903" width="8.85546875" style="75" customWidth="1"/>
    <col min="4904" max="4904" width="11.85546875" style="75" bestFit="1" customWidth="1"/>
    <col min="4905" max="4906" width="9.85546875" style="75" customWidth="1"/>
    <col min="4907" max="4907" width="10" style="75" customWidth="1"/>
    <col min="4908" max="4908" width="5.140625" style="75" customWidth="1"/>
    <col min="4909" max="4909" width="10.7109375" style="75" customWidth="1"/>
    <col min="4910" max="4910" width="16.42578125" style="75" bestFit="1" customWidth="1"/>
    <col min="4911" max="4911" width="9.140625" style="75" customWidth="1"/>
    <col min="4912" max="4912" width="4.7109375" style="75" customWidth="1"/>
    <col min="4913" max="4913" width="22.140625" style="75" bestFit="1" customWidth="1"/>
    <col min="4914" max="4914" width="8.85546875" style="75" customWidth="1"/>
    <col min="4915" max="4915" width="11.85546875" style="75" bestFit="1" customWidth="1"/>
    <col min="4916" max="4917" width="9.85546875" style="75" customWidth="1"/>
    <col min="4918" max="4918" width="10" style="75" customWidth="1"/>
    <col min="4919" max="4919" width="5.140625" style="75" customWidth="1"/>
    <col min="4920" max="4920" width="10.7109375" style="75" customWidth="1"/>
    <col min="4921" max="4921" width="17.42578125" style="75" customWidth="1"/>
    <col min="4922" max="4922" width="9.140625" style="75" customWidth="1"/>
    <col min="4923" max="4923" width="4.7109375" style="75" customWidth="1"/>
    <col min="4924" max="4924" width="19.5703125" style="75" customWidth="1"/>
    <col min="4925" max="4925" width="8.85546875" style="75" customWidth="1"/>
    <col min="4926" max="4928" width="9.85546875" style="75" customWidth="1"/>
    <col min="4929" max="4929" width="10" style="75" customWidth="1"/>
    <col min="4930" max="4930" width="5.140625" style="75" customWidth="1"/>
    <col min="4931" max="4931" width="10.7109375" style="75" customWidth="1"/>
    <col min="4932" max="4932" width="20.5703125" style="75" customWidth="1"/>
    <col min="4933" max="4933" width="9.140625" style="75" customWidth="1"/>
    <col min="4934" max="4934" width="4.7109375" style="75" customWidth="1"/>
    <col min="4935" max="4935" width="19.5703125" style="75" customWidth="1"/>
    <col min="4936" max="4936" width="8.85546875" style="75" customWidth="1"/>
    <col min="4937" max="4939" width="10.28515625" style="75" customWidth="1"/>
    <col min="4940" max="4940" width="10" style="75" customWidth="1"/>
    <col min="4941" max="4941" width="5.140625" style="75" customWidth="1"/>
    <col min="4942" max="4942" width="10.7109375" style="75" customWidth="1"/>
    <col min="4943" max="4943" width="22" style="75" customWidth="1"/>
    <col min="4944" max="4949" width="9.140625" style="75" customWidth="1"/>
    <col min="4950" max="5147" width="9.140625" style="75"/>
    <col min="5148" max="5148" width="4.7109375" style="75" customWidth="1"/>
    <col min="5149" max="5149" width="24.28515625" style="75" bestFit="1" customWidth="1"/>
    <col min="5150" max="5150" width="9" style="75" customWidth="1"/>
    <col min="5151" max="5151" width="11" style="75" bestFit="1" customWidth="1"/>
    <col min="5152" max="5152" width="10" style="75" customWidth="1"/>
    <col min="5153" max="5153" width="5.140625" style="75" customWidth="1"/>
    <col min="5154" max="5154" width="10.7109375" style="75" customWidth="1"/>
    <col min="5155" max="5155" width="16.7109375" style="75" customWidth="1"/>
    <col min="5156" max="5156" width="9.140625" style="75" customWidth="1"/>
    <col min="5157" max="5157" width="4.7109375" style="75" customWidth="1"/>
    <col min="5158" max="5158" width="19.85546875" style="75" customWidth="1"/>
    <col min="5159" max="5159" width="8.85546875" style="75" customWidth="1"/>
    <col min="5160" max="5160" width="11.85546875" style="75" bestFit="1" customWidth="1"/>
    <col min="5161" max="5162" width="9.85546875" style="75" customWidth="1"/>
    <col min="5163" max="5163" width="10" style="75" customWidth="1"/>
    <col min="5164" max="5164" width="5.140625" style="75" customWidth="1"/>
    <col min="5165" max="5165" width="10.7109375" style="75" customWidth="1"/>
    <col min="5166" max="5166" width="16.42578125" style="75" bestFit="1" customWidth="1"/>
    <col min="5167" max="5167" width="9.140625" style="75" customWidth="1"/>
    <col min="5168" max="5168" width="4.7109375" style="75" customWidth="1"/>
    <col min="5169" max="5169" width="22.140625" style="75" bestFit="1" customWidth="1"/>
    <col min="5170" max="5170" width="8.85546875" style="75" customWidth="1"/>
    <col min="5171" max="5171" width="11.85546875" style="75" bestFit="1" customWidth="1"/>
    <col min="5172" max="5173" width="9.85546875" style="75" customWidth="1"/>
    <col min="5174" max="5174" width="10" style="75" customWidth="1"/>
    <col min="5175" max="5175" width="5.140625" style="75" customWidth="1"/>
    <col min="5176" max="5176" width="10.7109375" style="75" customWidth="1"/>
    <col min="5177" max="5177" width="17.42578125" style="75" customWidth="1"/>
    <col min="5178" max="5178" width="9.140625" style="75" customWidth="1"/>
    <col min="5179" max="5179" width="4.7109375" style="75" customWidth="1"/>
    <col min="5180" max="5180" width="19.5703125" style="75" customWidth="1"/>
    <col min="5181" max="5181" width="8.85546875" style="75" customWidth="1"/>
    <col min="5182" max="5184" width="9.85546875" style="75" customWidth="1"/>
    <col min="5185" max="5185" width="10" style="75" customWidth="1"/>
    <col min="5186" max="5186" width="5.140625" style="75" customWidth="1"/>
    <col min="5187" max="5187" width="10.7109375" style="75" customWidth="1"/>
    <col min="5188" max="5188" width="20.5703125" style="75" customWidth="1"/>
    <col min="5189" max="5189" width="9.140625" style="75" customWidth="1"/>
    <col min="5190" max="5190" width="4.7109375" style="75" customWidth="1"/>
    <col min="5191" max="5191" width="19.5703125" style="75" customWidth="1"/>
    <col min="5192" max="5192" width="8.85546875" style="75" customWidth="1"/>
    <col min="5193" max="5195" width="10.28515625" style="75" customWidth="1"/>
    <col min="5196" max="5196" width="10" style="75" customWidth="1"/>
    <col min="5197" max="5197" width="5.140625" style="75" customWidth="1"/>
    <col min="5198" max="5198" width="10.7109375" style="75" customWidth="1"/>
    <col min="5199" max="5199" width="22" style="75" customWidth="1"/>
    <col min="5200" max="5205" width="9.140625" style="75" customWidth="1"/>
    <col min="5206" max="5403" width="9.140625" style="75"/>
    <col min="5404" max="5404" width="4.7109375" style="75" customWidth="1"/>
    <col min="5405" max="5405" width="24.28515625" style="75" bestFit="1" customWidth="1"/>
    <col min="5406" max="5406" width="9" style="75" customWidth="1"/>
    <col min="5407" max="5407" width="11" style="75" bestFit="1" customWidth="1"/>
    <col min="5408" max="5408" width="10" style="75" customWidth="1"/>
    <col min="5409" max="5409" width="5.140625" style="75" customWidth="1"/>
    <col min="5410" max="5410" width="10.7109375" style="75" customWidth="1"/>
    <col min="5411" max="5411" width="16.7109375" style="75" customWidth="1"/>
    <col min="5412" max="5412" width="9.140625" style="75" customWidth="1"/>
    <col min="5413" max="5413" width="4.7109375" style="75" customWidth="1"/>
    <col min="5414" max="5414" width="19.85546875" style="75" customWidth="1"/>
    <col min="5415" max="5415" width="8.85546875" style="75" customWidth="1"/>
    <col min="5416" max="5416" width="11.85546875" style="75" bestFit="1" customWidth="1"/>
    <col min="5417" max="5418" width="9.85546875" style="75" customWidth="1"/>
    <col min="5419" max="5419" width="10" style="75" customWidth="1"/>
    <col min="5420" max="5420" width="5.140625" style="75" customWidth="1"/>
    <col min="5421" max="5421" width="10.7109375" style="75" customWidth="1"/>
    <col min="5422" max="5422" width="16.42578125" style="75" bestFit="1" customWidth="1"/>
    <col min="5423" max="5423" width="9.140625" style="75" customWidth="1"/>
    <col min="5424" max="5424" width="4.7109375" style="75" customWidth="1"/>
    <col min="5425" max="5425" width="22.140625" style="75" bestFit="1" customWidth="1"/>
    <col min="5426" max="5426" width="8.85546875" style="75" customWidth="1"/>
    <col min="5427" max="5427" width="11.85546875" style="75" bestFit="1" customWidth="1"/>
    <col min="5428" max="5429" width="9.85546875" style="75" customWidth="1"/>
    <col min="5430" max="5430" width="10" style="75" customWidth="1"/>
    <col min="5431" max="5431" width="5.140625" style="75" customWidth="1"/>
    <col min="5432" max="5432" width="10.7109375" style="75" customWidth="1"/>
    <col min="5433" max="5433" width="17.42578125" style="75" customWidth="1"/>
    <col min="5434" max="5434" width="9.140625" style="75" customWidth="1"/>
    <col min="5435" max="5435" width="4.7109375" style="75" customWidth="1"/>
    <col min="5436" max="5436" width="19.5703125" style="75" customWidth="1"/>
    <col min="5437" max="5437" width="8.85546875" style="75" customWidth="1"/>
    <col min="5438" max="5440" width="9.85546875" style="75" customWidth="1"/>
    <col min="5441" max="5441" width="10" style="75" customWidth="1"/>
    <col min="5442" max="5442" width="5.140625" style="75" customWidth="1"/>
    <col min="5443" max="5443" width="10.7109375" style="75" customWidth="1"/>
    <col min="5444" max="5444" width="20.5703125" style="75" customWidth="1"/>
    <col min="5445" max="5445" width="9.140625" style="75" customWidth="1"/>
    <col min="5446" max="5446" width="4.7109375" style="75" customWidth="1"/>
    <col min="5447" max="5447" width="19.5703125" style="75" customWidth="1"/>
    <col min="5448" max="5448" width="8.85546875" style="75" customWidth="1"/>
    <col min="5449" max="5451" width="10.28515625" style="75" customWidth="1"/>
    <col min="5452" max="5452" width="10" style="75" customWidth="1"/>
    <col min="5453" max="5453" width="5.140625" style="75" customWidth="1"/>
    <col min="5454" max="5454" width="10.7109375" style="75" customWidth="1"/>
    <col min="5455" max="5455" width="22" style="75" customWidth="1"/>
    <col min="5456" max="5461" width="9.140625" style="75" customWidth="1"/>
    <col min="5462" max="5659" width="9.140625" style="75"/>
    <col min="5660" max="5660" width="4.7109375" style="75" customWidth="1"/>
    <col min="5661" max="5661" width="24.28515625" style="75" bestFit="1" customWidth="1"/>
    <col min="5662" max="5662" width="9" style="75" customWidth="1"/>
    <col min="5663" max="5663" width="11" style="75" bestFit="1" customWidth="1"/>
    <col min="5664" max="5664" width="10" style="75" customWidth="1"/>
    <col min="5665" max="5665" width="5.140625" style="75" customWidth="1"/>
    <col min="5666" max="5666" width="10.7109375" style="75" customWidth="1"/>
    <col min="5667" max="5667" width="16.7109375" style="75" customWidth="1"/>
    <col min="5668" max="5668" width="9.140625" style="75" customWidth="1"/>
    <col min="5669" max="5669" width="4.7109375" style="75" customWidth="1"/>
    <col min="5670" max="5670" width="19.85546875" style="75" customWidth="1"/>
    <col min="5671" max="5671" width="8.85546875" style="75" customWidth="1"/>
    <col min="5672" max="5672" width="11.85546875" style="75" bestFit="1" customWidth="1"/>
    <col min="5673" max="5674" width="9.85546875" style="75" customWidth="1"/>
    <col min="5675" max="5675" width="10" style="75" customWidth="1"/>
    <col min="5676" max="5676" width="5.140625" style="75" customWidth="1"/>
    <col min="5677" max="5677" width="10.7109375" style="75" customWidth="1"/>
    <col min="5678" max="5678" width="16.42578125" style="75" bestFit="1" customWidth="1"/>
    <col min="5679" max="5679" width="9.140625" style="75" customWidth="1"/>
    <col min="5680" max="5680" width="4.7109375" style="75" customWidth="1"/>
    <col min="5681" max="5681" width="22.140625" style="75" bestFit="1" customWidth="1"/>
    <col min="5682" max="5682" width="8.85546875" style="75" customWidth="1"/>
    <col min="5683" max="5683" width="11.85546875" style="75" bestFit="1" customWidth="1"/>
    <col min="5684" max="5685" width="9.85546875" style="75" customWidth="1"/>
    <col min="5686" max="5686" width="10" style="75" customWidth="1"/>
    <col min="5687" max="5687" width="5.140625" style="75" customWidth="1"/>
    <col min="5688" max="5688" width="10.7109375" style="75" customWidth="1"/>
    <col min="5689" max="5689" width="17.42578125" style="75" customWidth="1"/>
    <col min="5690" max="5690" width="9.140625" style="75" customWidth="1"/>
    <col min="5691" max="5691" width="4.7109375" style="75" customWidth="1"/>
    <col min="5692" max="5692" width="19.5703125" style="75" customWidth="1"/>
    <col min="5693" max="5693" width="8.85546875" style="75" customWidth="1"/>
    <col min="5694" max="5696" width="9.85546875" style="75" customWidth="1"/>
    <col min="5697" max="5697" width="10" style="75" customWidth="1"/>
    <col min="5698" max="5698" width="5.140625" style="75" customWidth="1"/>
    <col min="5699" max="5699" width="10.7109375" style="75" customWidth="1"/>
    <col min="5700" max="5700" width="20.5703125" style="75" customWidth="1"/>
    <col min="5701" max="5701" width="9.140625" style="75" customWidth="1"/>
    <col min="5702" max="5702" width="4.7109375" style="75" customWidth="1"/>
    <col min="5703" max="5703" width="19.5703125" style="75" customWidth="1"/>
    <col min="5704" max="5704" width="8.85546875" style="75" customWidth="1"/>
    <col min="5705" max="5707" width="10.28515625" style="75" customWidth="1"/>
    <col min="5708" max="5708" width="10" style="75" customWidth="1"/>
    <col min="5709" max="5709" width="5.140625" style="75" customWidth="1"/>
    <col min="5710" max="5710" width="10.7109375" style="75" customWidth="1"/>
    <col min="5711" max="5711" width="22" style="75" customWidth="1"/>
    <col min="5712" max="5717" width="9.140625" style="75" customWidth="1"/>
    <col min="5718" max="5915" width="9.140625" style="75"/>
    <col min="5916" max="5916" width="4.7109375" style="75" customWidth="1"/>
    <col min="5917" max="5917" width="24.28515625" style="75" bestFit="1" customWidth="1"/>
    <col min="5918" max="5918" width="9" style="75" customWidth="1"/>
    <col min="5919" max="5919" width="11" style="75" bestFit="1" customWidth="1"/>
    <col min="5920" max="5920" width="10" style="75" customWidth="1"/>
    <col min="5921" max="5921" width="5.140625" style="75" customWidth="1"/>
    <col min="5922" max="5922" width="10.7109375" style="75" customWidth="1"/>
    <col min="5923" max="5923" width="16.7109375" style="75" customWidth="1"/>
    <col min="5924" max="5924" width="9.140625" style="75" customWidth="1"/>
    <col min="5925" max="5925" width="4.7109375" style="75" customWidth="1"/>
    <col min="5926" max="5926" width="19.85546875" style="75" customWidth="1"/>
    <col min="5927" max="5927" width="8.85546875" style="75" customWidth="1"/>
    <col min="5928" max="5928" width="11.85546875" style="75" bestFit="1" customWidth="1"/>
    <col min="5929" max="5930" width="9.85546875" style="75" customWidth="1"/>
    <col min="5931" max="5931" width="10" style="75" customWidth="1"/>
    <col min="5932" max="5932" width="5.140625" style="75" customWidth="1"/>
    <col min="5933" max="5933" width="10.7109375" style="75" customWidth="1"/>
    <col min="5934" max="5934" width="16.42578125" style="75" bestFit="1" customWidth="1"/>
    <col min="5935" max="5935" width="9.140625" style="75" customWidth="1"/>
    <col min="5936" max="5936" width="4.7109375" style="75" customWidth="1"/>
    <col min="5937" max="5937" width="22.140625" style="75" bestFit="1" customWidth="1"/>
    <col min="5938" max="5938" width="8.85546875" style="75" customWidth="1"/>
    <col min="5939" max="5939" width="11.85546875" style="75" bestFit="1" customWidth="1"/>
    <col min="5940" max="5941" width="9.85546875" style="75" customWidth="1"/>
    <col min="5942" max="5942" width="10" style="75" customWidth="1"/>
    <col min="5943" max="5943" width="5.140625" style="75" customWidth="1"/>
    <col min="5944" max="5944" width="10.7109375" style="75" customWidth="1"/>
    <col min="5945" max="5945" width="17.42578125" style="75" customWidth="1"/>
    <col min="5946" max="5946" width="9.140625" style="75" customWidth="1"/>
    <col min="5947" max="5947" width="4.7109375" style="75" customWidth="1"/>
    <col min="5948" max="5948" width="19.5703125" style="75" customWidth="1"/>
    <col min="5949" max="5949" width="8.85546875" style="75" customWidth="1"/>
    <col min="5950" max="5952" width="9.85546875" style="75" customWidth="1"/>
    <col min="5953" max="5953" width="10" style="75" customWidth="1"/>
    <col min="5954" max="5954" width="5.140625" style="75" customWidth="1"/>
    <col min="5955" max="5955" width="10.7109375" style="75" customWidth="1"/>
    <col min="5956" max="5956" width="20.5703125" style="75" customWidth="1"/>
    <col min="5957" max="5957" width="9.140625" style="75" customWidth="1"/>
    <col min="5958" max="5958" width="4.7109375" style="75" customWidth="1"/>
    <col min="5959" max="5959" width="19.5703125" style="75" customWidth="1"/>
    <col min="5960" max="5960" width="8.85546875" style="75" customWidth="1"/>
    <col min="5961" max="5963" width="10.28515625" style="75" customWidth="1"/>
    <col min="5964" max="5964" width="10" style="75" customWidth="1"/>
    <col min="5965" max="5965" width="5.140625" style="75" customWidth="1"/>
    <col min="5966" max="5966" width="10.7109375" style="75" customWidth="1"/>
    <col min="5967" max="5967" width="22" style="75" customWidth="1"/>
    <col min="5968" max="5973" width="9.140625" style="75" customWidth="1"/>
    <col min="5974" max="6171" width="9.140625" style="75"/>
    <col min="6172" max="6172" width="4.7109375" style="75" customWidth="1"/>
    <col min="6173" max="6173" width="24.28515625" style="75" bestFit="1" customWidth="1"/>
    <col min="6174" max="6174" width="9" style="75" customWidth="1"/>
    <col min="6175" max="6175" width="11" style="75" bestFit="1" customWidth="1"/>
    <col min="6176" max="6176" width="10" style="75" customWidth="1"/>
    <col min="6177" max="6177" width="5.140625" style="75" customWidth="1"/>
    <col min="6178" max="6178" width="10.7109375" style="75" customWidth="1"/>
    <col min="6179" max="6179" width="16.7109375" style="75" customWidth="1"/>
    <col min="6180" max="6180" width="9.140625" style="75" customWidth="1"/>
    <col min="6181" max="6181" width="4.7109375" style="75" customWidth="1"/>
    <col min="6182" max="6182" width="19.85546875" style="75" customWidth="1"/>
    <col min="6183" max="6183" width="8.85546875" style="75" customWidth="1"/>
    <col min="6184" max="6184" width="11.85546875" style="75" bestFit="1" customWidth="1"/>
    <col min="6185" max="6186" width="9.85546875" style="75" customWidth="1"/>
    <col min="6187" max="6187" width="10" style="75" customWidth="1"/>
    <col min="6188" max="6188" width="5.140625" style="75" customWidth="1"/>
    <col min="6189" max="6189" width="10.7109375" style="75" customWidth="1"/>
    <col min="6190" max="6190" width="16.42578125" style="75" bestFit="1" customWidth="1"/>
    <col min="6191" max="6191" width="9.140625" style="75" customWidth="1"/>
    <col min="6192" max="6192" width="4.7109375" style="75" customWidth="1"/>
    <col min="6193" max="6193" width="22.140625" style="75" bestFit="1" customWidth="1"/>
    <col min="6194" max="6194" width="8.85546875" style="75" customWidth="1"/>
    <col min="6195" max="6195" width="11.85546875" style="75" bestFit="1" customWidth="1"/>
    <col min="6196" max="6197" width="9.85546875" style="75" customWidth="1"/>
    <col min="6198" max="6198" width="10" style="75" customWidth="1"/>
    <col min="6199" max="6199" width="5.140625" style="75" customWidth="1"/>
    <col min="6200" max="6200" width="10.7109375" style="75" customWidth="1"/>
    <col min="6201" max="6201" width="17.42578125" style="75" customWidth="1"/>
    <col min="6202" max="6202" width="9.140625" style="75" customWidth="1"/>
    <col min="6203" max="6203" width="4.7109375" style="75" customWidth="1"/>
    <col min="6204" max="6204" width="19.5703125" style="75" customWidth="1"/>
    <col min="6205" max="6205" width="8.85546875" style="75" customWidth="1"/>
    <col min="6206" max="6208" width="9.85546875" style="75" customWidth="1"/>
    <col min="6209" max="6209" width="10" style="75" customWidth="1"/>
    <col min="6210" max="6210" width="5.140625" style="75" customWidth="1"/>
    <col min="6211" max="6211" width="10.7109375" style="75" customWidth="1"/>
    <col min="6212" max="6212" width="20.5703125" style="75" customWidth="1"/>
    <col min="6213" max="6213" width="9.140625" style="75" customWidth="1"/>
    <col min="6214" max="6214" width="4.7109375" style="75" customWidth="1"/>
    <col min="6215" max="6215" width="19.5703125" style="75" customWidth="1"/>
    <col min="6216" max="6216" width="8.85546875" style="75" customWidth="1"/>
    <col min="6217" max="6219" width="10.28515625" style="75" customWidth="1"/>
    <col min="6220" max="6220" width="10" style="75" customWidth="1"/>
    <col min="6221" max="6221" width="5.140625" style="75" customWidth="1"/>
    <col min="6222" max="6222" width="10.7109375" style="75" customWidth="1"/>
    <col min="6223" max="6223" width="22" style="75" customWidth="1"/>
    <col min="6224" max="6229" width="9.140625" style="75" customWidth="1"/>
    <col min="6230" max="6427" width="9.140625" style="75"/>
    <col min="6428" max="6428" width="4.7109375" style="75" customWidth="1"/>
    <col min="6429" max="6429" width="24.28515625" style="75" bestFit="1" customWidth="1"/>
    <col min="6430" max="6430" width="9" style="75" customWidth="1"/>
    <col min="6431" max="6431" width="11" style="75" bestFit="1" customWidth="1"/>
    <col min="6432" max="6432" width="10" style="75" customWidth="1"/>
    <col min="6433" max="6433" width="5.140625" style="75" customWidth="1"/>
    <col min="6434" max="6434" width="10.7109375" style="75" customWidth="1"/>
    <col min="6435" max="6435" width="16.7109375" style="75" customWidth="1"/>
    <col min="6436" max="6436" width="9.140625" style="75" customWidth="1"/>
    <col min="6437" max="6437" width="4.7109375" style="75" customWidth="1"/>
    <col min="6438" max="6438" width="19.85546875" style="75" customWidth="1"/>
    <col min="6439" max="6439" width="8.85546875" style="75" customWidth="1"/>
    <col min="6440" max="6440" width="11.85546875" style="75" bestFit="1" customWidth="1"/>
    <col min="6441" max="6442" width="9.85546875" style="75" customWidth="1"/>
    <col min="6443" max="6443" width="10" style="75" customWidth="1"/>
    <col min="6444" max="6444" width="5.140625" style="75" customWidth="1"/>
    <col min="6445" max="6445" width="10.7109375" style="75" customWidth="1"/>
    <col min="6446" max="6446" width="16.42578125" style="75" bestFit="1" customWidth="1"/>
    <col min="6447" max="6447" width="9.140625" style="75" customWidth="1"/>
    <col min="6448" max="6448" width="4.7109375" style="75" customWidth="1"/>
    <col min="6449" max="6449" width="22.140625" style="75" bestFit="1" customWidth="1"/>
    <col min="6450" max="6450" width="8.85546875" style="75" customWidth="1"/>
    <col min="6451" max="6451" width="11.85546875" style="75" bestFit="1" customWidth="1"/>
    <col min="6452" max="6453" width="9.85546875" style="75" customWidth="1"/>
    <col min="6454" max="6454" width="10" style="75" customWidth="1"/>
    <col min="6455" max="6455" width="5.140625" style="75" customWidth="1"/>
    <col min="6456" max="6456" width="10.7109375" style="75" customWidth="1"/>
    <col min="6457" max="6457" width="17.42578125" style="75" customWidth="1"/>
    <col min="6458" max="6458" width="9.140625" style="75" customWidth="1"/>
    <col min="6459" max="6459" width="4.7109375" style="75" customWidth="1"/>
    <col min="6460" max="6460" width="19.5703125" style="75" customWidth="1"/>
    <col min="6461" max="6461" width="8.85546875" style="75" customWidth="1"/>
    <col min="6462" max="6464" width="9.85546875" style="75" customWidth="1"/>
    <col min="6465" max="6465" width="10" style="75" customWidth="1"/>
    <col min="6466" max="6466" width="5.140625" style="75" customWidth="1"/>
    <col min="6467" max="6467" width="10.7109375" style="75" customWidth="1"/>
    <col min="6468" max="6468" width="20.5703125" style="75" customWidth="1"/>
    <col min="6469" max="6469" width="9.140625" style="75" customWidth="1"/>
    <col min="6470" max="6470" width="4.7109375" style="75" customWidth="1"/>
    <col min="6471" max="6471" width="19.5703125" style="75" customWidth="1"/>
    <col min="6472" max="6472" width="8.85546875" style="75" customWidth="1"/>
    <col min="6473" max="6475" width="10.28515625" style="75" customWidth="1"/>
    <col min="6476" max="6476" width="10" style="75" customWidth="1"/>
    <col min="6477" max="6477" width="5.140625" style="75" customWidth="1"/>
    <col min="6478" max="6478" width="10.7109375" style="75" customWidth="1"/>
    <col min="6479" max="6479" width="22" style="75" customWidth="1"/>
    <col min="6480" max="6485" width="9.140625" style="75" customWidth="1"/>
    <col min="6486" max="6683" width="9.140625" style="75"/>
    <col min="6684" max="6684" width="4.7109375" style="75" customWidth="1"/>
    <col min="6685" max="6685" width="24.28515625" style="75" bestFit="1" customWidth="1"/>
    <col min="6686" max="6686" width="9" style="75" customWidth="1"/>
    <col min="6687" max="6687" width="11" style="75" bestFit="1" customWidth="1"/>
    <col min="6688" max="6688" width="10" style="75" customWidth="1"/>
    <col min="6689" max="6689" width="5.140625" style="75" customWidth="1"/>
    <col min="6690" max="6690" width="10.7109375" style="75" customWidth="1"/>
    <col min="6691" max="6691" width="16.7109375" style="75" customWidth="1"/>
    <col min="6692" max="6692" width="9.140625" style="75" customWidth="1"/>
    <col min="6693" max="6693" width="4.7109375" style="75" customWidth="1"/>
    <col min="6694" max="6694" width="19.85546875" style="75" customWidth="1"/>
    <col min="6695" max="6695" width="8.85546875" style="75" customWidth="1"/>
    <col min="6696" max="6696" width="11.85546875" style="75" bestFit="1" customWidth="1"/>
    <col min="6697" max="6698" width="9.85546875" style="75" customWidth="1"/>
    <col min="6699" max="6699" width="10" style="75" customWidth="1"/>
    <col min="6700" max="6700" width="5.140625" style="75" customWidth="1"/>
    <col min="6701" max="6701" width="10.7109375" style="75" customWidth="1"/>
    <col min="6702" max="6702" width="16.42578125" style="75" bestFit="1" customWidth="1"/>
    <col min="6703" max="6703" width="9.140625" style="75" customWidth="1"/>
    <col min="6704" max="6704" width="4.7109375" style="75" customWidth="1"/>
    <col min="6705" max="6705" width="22.140625" style="75" bestFit="1" customWidth="1"/>
    <col min="6706" max="6706" width="8.85546875" style="75" customWidth="1"/>
    <col min="6707" max="6707" width="11.85546875" style="75" bestFit="1" customWidth="1"/>
    <col min="6708" max="6709" width="9.85546875" style="75" customWidth="1"/>
    <col min="6710" max="6710" width="10" style="75" customWidth="1"/>
    <col min="6711" max="6711" width="5.140625" style="75" customWidth="1"/>
    <col min="6712" max="6712" width="10.7109375" style="75" customWidth="1"/>
    <col min="6713" max="6713" width="17.42578125" style="75" customWidth="1"/>
    <col min="6714" max="6714" width="9.140625" style="75" customWidth="1"/>
    <col min="6715" max="6715" width="4.7109375" style="75" customWidth="1"/>
    <col min="6716" max="6716" width="19.5703125" style="75" customWidth="1"/>
    <col min="6717" max="6717" width="8.85546875" style="75" customWidth="1"/>
    <col min="6718" max="6720" width="9.85546875" style="75" customWidth="1"/>
    <col min="6721" max="6721" width="10" style="75" customWidth="1"/>
    <col min="6722" max="6722" width="5.140625" style="75" customWidth="1"/>
    <col min="6723" max="6723" width="10.7109375" style="75" customWidth="1"/>
    <col min="6724" max="6724" width="20.5703125" style="75" customWidth="1"/>
    <col min="6725" max="6725" width="9.140625" style="75" customWidth="1"/>
    <col min="6726" max="6726" width="4.7109375" style="75" customWidth="1"/>
    <col min="6727" max="6727" width="19.5703125" style="75" customWidth="1"/>
    <col min="6728" max="6728" width="8.85546875" style="75" customWidth="1"/>
    <col min="6729" max="6731" width="10.28515625" style="75" customWidth="1"/>
    <col min="6732" max="6732" width="10" style="75" customWidth="1"/>
    <col min="6733" max="6733" width="5.140625" style="75" customWidth="1"/>
    <col min="6734" max="6734" width="10.7109375" style="75" customWidth="1"/>
    <col min="6735" max="6735" width="22" style="75" customWidth="1"/>
    <col min="6736" max="6741" width="9.140625" style="75" customWidth="1"/>
    <col min="6742" max="6939" width="9.140625" style="75"/>
    <col min="6940" max="6940" width="4.7109375" style="75" customWidth="1"/>
    <col min="6941" max="6941" width="24.28515625" style="75" bestFit="1" customWidth="1"/>
    <col min="6942" max="6942" width="9" style="75" customWidth="1"/>
    <col min="6943" max="6943" width="11" style="75" bestFit="1" customWidth="1"/>
    <col min="6944" max="6944" width="10" style="75" customWidth="1"/>
    <col min="6945" max="6945" width="5.140625" style="75" customWidth="1"/>
    <col min="6946" max="6946" width="10.7109375" style="75" customWidth="1"/>
    <col min="6947" max="6947" width="16.7109375" style="75" customWidth="1"/>
    <col min="6948" max="6948" width="9.140625" style="75" customWidth="1"/>
    <col min="6949" max="6949" width="4.7109375" style="75" customWidth="1"/>
    <col min="6950" max="6950" width="19.85546875" style="75" customWidth="1"/>
    <col min="6951" max="6951" width="8.85546875" style="75" customWidth="1"/>
    <col min="6952" max="6952" width="11.85546875" style="75" bestFit="1" customWidth="1"/>
    <col min="6953" max="6954" width="9.85546875" style="75" customWidth="1"/>
    <col min="6955" max="6955" width="10" style="75" customWidth="1"/>
    <col min="6956" max="6956" width="5.140625" style="75" customWidth="1"/>
    <col min="6957" max="6957" width="10.7109375" style="75" customWidth="1"/>
    <col min="6958" max="6958" width="16.42578125" style="75" bestFit="1" customWidth="1"/>
    <col min="6959" max="6959" width="9.140625" style="75" customWidth="1"/>
    <col min="6960" max="6960" width="4.7109375" style="75" customWidth="1"/>
    <col min="6961" max="6961" width="22.140625" style="75" bestFit="1" customWidth="1"/>
    <col min="6962" max="6962" width="8.85546875" style="75" customWidth="1"/>
    <col min="6963" max="6963" width="11.85546875" style="75" bestFit="1" customWidth="1"/>
    <col min="6964" max="6965" width="9.85546875" style="75" customWidth="1"/>
    <col min="6966" max="6966" width="10" style="75" customWidth="1"/>
    <col min="6967" max="6967" width="5.140625" style="75" customWidth="1"/>
    <col min="6968" max="6968" width="10.7109375" style="75" customWidth="1"/>
    <col min="6969" max="6969" width="17.42578125" style="75" customWidth="1"/>
    <col min="6970" max="6970" width="9.140625" style="75" customWidth="1"/>
    <col min="6971" max="6971" width="4.7109375" style="75" customWidth="1"/>
    <col min="6972" max="6972" width="19.5703125" style="75" customWidth="1"/>
    <col min="6973" max="6973" width="8.85546875" style="75" customWidth="1"/>
    <col min="6974" max="6976" width="9.85546875" style="75" customWidth="1"/>
    <col min="6977" max="6977" width="10" style="75" customWidth="1"/>
    <col min="6978" max="6978" width="5.140625" style="75" customWidth="1"/>
    <col min="6979" max="6979" width="10.7109375" style="75" customWidth="1"/>
    <col min="6980" max="6980" width="20.5703125" style="75" customWidth="1"/>
    <col min="6981" max="6981" width="9.140625" style="75" customWidth="1"/>
    <col min="6982" max="6982" width="4.7109375" style="75" customWidth="1"/>
    <col min="6983" max="6983" width="19.5703125" style="75" customWidth="1"/>
    <col min="6984" max="6984" width="8.85546875" style="75" customWidth="1"/>
    <col min="6985" max="6987" width="10.28515625" style="75" customWidth="1"/>
    <col min="6988" max="6988" width="10" style="75" customWidth="1"/>
    <col min="6989" max="6989" width="5.140625" style="75" customWidth="1"/>
    <col min="6990" max="6990" width="10.7109375" style="75" customWidth="1"/>
    <col min="6991" max="6991" width="22" style="75" customWidth="1"/>
    <col min="6992" max="6997" width="9.140625" style="75" customWidth="1"/>
    <col min="6998" max="7195" width="9.140625" style="75"/>
    <col min="7196" max="7196" width="4.7109375" style="75" customWidth="1"/>
    <col min="7197" max="7197" width="24.28515625" style="75" bestFit="1" customWidth="1"/>
    <col min="7198" max="7198" width="9" style="75" customWidth="1"/>
    <col min="7199" max="7199" width="11" style="75" bestFit="1" customWidth="1"/>
    <col min="7200" max="7200" width="10" style="75" customWidth="1"/>
    <col min="7201" max="7201" width="5.140625" style="75" customWidth="1"/>
    <col min="7202" max="7202" width="10.7109375" style="75" customWidth="1"/>
    <col min="7203" max="7203" width="16.7109375" style="75" customWidth="1"/>
    <col min="7204" max="7204" width="9.140625" style="75" customWidth="1"/>
    <col min="7205" max="7205" width="4.7109375" style="75" customWidth="1"/>
    <col min="7206" max="7206" width="19.85546875" style="75" customWidth="1"/>
    <col min="7207" max="7207" width="8.85546875" style="75" customWidth="1"/>
    <col min="7208" max="7208" width="11.85546875" style="75" bestFit="1" customWidth="1"/>
    <col min="7209" max="7210" width="9.85546875" style="75" customWidth="1"/>
    <col min="7211" max="7211" width="10" style="75" customWidth="1"/>
    <col min="7212" max="7212" width="5.140625" style="75" customWidth="1"/>
    <col min="7213" max="7213" width="10.7109375" style="75" customWidth="1"/>
    <col min="7214" max="7214" width="16.42578125" style="75" bestFit="1" customWidth="1"/>
    <col min="7215" max="7215" width="9.140625" style="75" customWidth="1"/>
    <col min="7216" max="7216" width="4.7109375" style="75" customWidth="1"/>
    <col min="7217" max="7217" width="22.140625" style="75" bestFit="1" customWidth="1"/>
    <col min="7218" max="7218" width="8.85546875" style="75" customWidth="1"/>
    <col min="7219" max="7219" width="11.85546875" style="75" bestFit="1" customWidth="1"/>
    <col min="7220" max="7221" width="9.85546875" style="75" customWidth="1"/>
    <col min="7222" max="7222" width="10" style="75" customWidth="1"/>
    <col min="7223" max="7223" width="5.140625" style="75" customWidth="1"/>
    <col min="7224" max="7224" width="10.7109375" style="75" customWidth="1"/>
    <col min="7225" max="7225" width="17.42578125" style="75" customWidth="1"/>
    <col min="7226" max="7226" width="9.140625" style="75" customWidth="1"/>
    <col min="7227" max="7227" width="4.7109375" style="75" customWidth="1"/>
    <col min="7228" max="7228" width="19.5703125" style="75" customWidth="1"/>
    <col min="7229" max="7229" width="8.85546875" style="75" customWidth="1"/>
    <col min="7230" max="7232" width="9.85546875" style="75" customWidth="1"/>
    <col min="7233" max="7233" width="10" style="75" customWidth="1"/>
    <col min="7234" max="7234" width="5.140625" style="75" customWidth="1"/>
    <col min="7235" max="7235" width="10.7109375" style="75" customWidth="1"/>
    <col min="7236" max="7236" width="20.5703125" style="75" customWidth="1"/>
    <col min="7237" max="7237" width="9.140625" style="75" customWidth="1"/>
    <col min="7238" max="7238" width="4.7109375" style="75" customWidth="1"/>
    <col min="7239" max="7239" width="19.5703125" style="75" customWidth="1"/>
    <col min="7240" max="7240" width="8.85546875" style="75" customWidth="1"/>
    <col min="7241" max="7243" width="10.28515625" style="75" customWidth="1"/>
    <col min="7244" max="7244" width="10" style="75" customWidth="1"/>
    <col min="7245" max="7245" width="5.140625" style="75" customWidth="1"/>
    <col min="7246" max="7246" width="10.7109375" style="75" customWidth="1"/>
    <col min="7247" max="7247" width="22" style="75" customWidth="1"/>
    <col min="7248" max="7253" width="9.140625" style="75" customWidth="1"/>
    <col min="7254" max="7451" width="9.140625" style="75"/>
    <col min="7452" max="7452" width="4.7109375" style="75" customWidth="1"/>
    <col min="7453" max="7453" width="24.28515625" style="75" bestFit="1" customWidth="1"/>
    <col min="7454" max="7454" width="9" style="75" customWidth="1"/>
    <col min="7455" max="7455" width="11" style="75" bestFit="1" customWidth="1"/>
    <col min="7456" max="7456" width="10" style="75" customWidth="1"/>
    <col min="7457" max="7457" width="5.140625" style="75" customWidth="1"/>
    <col min="7458" max="7458" width="10.7109375" style="75" customWidth="1"/>
    <col min="7459" max="7459" width="16.7109375" style="75" customWidth="1"/>
    <col min="7460" max="7460" width="9.140625" style="75" customWidth="1"/>
    <col min="7461" max="7461" width="4.7109375" style="75" customWidth="1"/>
    <col min="7462" max="7462" width="19.85546875" style="75" customWidth="1"/>
    <col min="7463" max="7463" width="8.85546875" style="75" customWidth="1"/>
    <col min="7464" max="7464" width="11.85546875" style="75" bestFit="1" customWidth="1"/>
    <col min="7465" max="7466" width="9.85546875" style="75" customWidth="1"/>
    <col min="7467" max="7467" width="10" style="75" customWidth="1"/>
    <col min="7468" max="7468" width="5.140625" style="75" customWidth="1"/>
    <col min="7469" max="7469" width="10.7109375" style="75" customWidth="1"/>
    <col min="7470" max="7470" width="16.42578125" style="75" bestFit="1" customWidth="1"/>
    <col min="7471" max="7471" width="9.140625" style="75" customWidth="1"/>
    <col min="7472" max="7472" width="4.7109375" style="75" customWidth="1"/>
    <col min="7473" max="7473" width="22.140625" style="75" bestFit="1" customWidth="1"/>
    <col min="7474" max="7474" width="8.85546875" style="75" customWidth="1"/>
    <col min="7475" max="7475" width="11.85546875" style="75" bestFit="1" customWidth="1"/>
    <col min="7476" max="7477" width="9.85546875" style="75" customWidth="1"/>
    <col min="7478" max="7478" width="10" style="75" customWidth="1"/>
    <col min="7479" max="7479" width="5.140625" style="75" customWidth="1"/>
    <col min="7480" max="7480" width="10.7109375" style="75" customWidth="1"/>
    <col min="7481" max="7481" width="17.42578125" style="75" customWidth="1"/>
    <col min="7482" max="7482" width="9.140625" style="75" customWidth="1"/>
    <col min="7483" max="7483" width="4.7109375" style="75" customWidth="1"/>
    <col min="7484" max="7484" width="19.5703125" style="75" customWidth="1"/>
    <col min="7485" max="7485" width="8.85546875" style="75" customWidth="1"/>
    <col min="7486" max="7488" width="9.85546875" style="75" customWidth="1"/>
    <col min="7489" max="7489" width="10" style="75" customWidth="1"/>
    <col min="7490" max="7490" width="5.140625" style="75" customWidth="1"/>
    <col min="7491" max="7491" width="10.7109375" style="75" customWidth="1"/>
    <col min="7492" max="7492" width="20.5703125" style="75" customWidth="1"/>
    <col min="7493" max="7493" width="9.140625" style="75" customWidth="1"/>
    <col min="7494" max="7494" width="4.7109375" style="75" customWidth="1"/>
    <col min="7495" max="7495" width="19.5703125" style="75" customWidth="1"/>
    <col min="7496" max="7496" width="8.85546875" style="75" customWidth="1"/>
    <col min="7497" max="7499" width="10.28515625" style="75" customWidth="1"/>
    <col min="7500" max="7500" width="10" style="75" customWidth="1"/>
    <col min="7501" max="7501" width="5.140625" style="75" customWidth="1"/>
    <col min="7502" max="7502" width="10.7109375" style="75" customWidth="1"/>
    <col min="7503" max="7503" width="22" style="75" customWidth="1"/>
    <col min="7504" max="7509" width="9.140625" style="75" customWidth="1"/>
    <col min="7510" max="7707" width="9.140625" style="75"/>
    <col min="7708" max="7708" width="4.7109375" style="75" customWidth="1"/>
    <col min="7709" max="7709" width="24.28515625" style="75" bestFit="1" customWidth="1"/>
    <col min="7710" max="7710" width="9" style="75" customWidth="1"/>
    <col min="7711" max="7711" width="11" style="75" bestFit="1" customWidth="1"/>
    <col min="7712" max="7712" width="10" style="75" customWidth="1"/>
    <col min="7713" max="7713" width="5.140625" style="75" customWidth="1"/>
    <col min="7714" max="7714" width="10.7109375" style="75" customWidth="1"/>
    <col min="7715" max="7715" width="16.7109375" style="75" customWidth="1"/>
    <col min="7716" max="7716" width="9.140625" style="75" customWidth="1"/>
    <col min="7717" max="7717" width="4.7109375" style="75" customWidth="1"/>
    <col min="7718" max="7718" width="19.85546875" style="75" customWidth="1"/>
    <col min="7719" max="7719" width="8.85546875" style="75" customWidth="1"/>
    <col min="7720" max="7720" width="11.85546875" style="75" bestFit="1" customWidth="1"/>
    <col min="7721" max="7722" width="9.85546875" style="75" customWidth="1"/>
    <col min="7723" max="7723" width="10" style="75" customWidth="1"/>
    <col min="7724" max="7724" width="5.140625" style="75" customWidth="1"/>
    <col min="7725" max="7725" width="10.7109375" style="75" customWidth="1"/>
    <col min="7726" max="7726" width="16.42578125" style="75" bestFit="1" customWidth="1"/>
    <col min="7727" max="7727" width="9.140625" style="75" customWidth="1"/>
    <col min="7728" max="7728" width="4.7109375" style="75" customWidth="1"/>
    <col min="7729" max="7729" width="22.140625" style="75" bestFit="1" customWidth="1"/>
    <col min="7730" max="7730" width="8.85546875" style="75" customWidth="1"/>
    <col min="7731" max="7731" width="11.85546875" style="75" bestFit="1" customWidth="1"/>
    <col min="7732" max="7733" width="9.85546875" style="75" customWidth="1"/>
    <col min="7734" max="7734" width="10" style="75" customWidth="1"/>
    <col min="7735" max="7735" width="5.140625" style="75" customWidth="1"/>
    <col min="7736" max="7736" width="10.7109375" style="75" customWidth="1"/>
    <col min="7737" max="7737" width="17.42578125" style="75" customWidth="1"/>
    <col min="7738" max="7738" width="9.140625" style="75" customWidth="1"/>
    <col min="7739" max="7739" width="4.7109375" style="75" customWidth="1"/>
    <col min="7740" max="7740" width="19.5703125" style="75" customWidth="1"/>
    <col min="7741" max="7741" width="8.85546875" style="75" customWidth="1"/>
    <col min="7742" max="7744" width="9.85546875" style="75" customWidth="1"/>
    <col min="7745" max="7745" width="10" style="75" customWidth="1"/>
    <col min="7746" max="7746" width="5.140625" style="75" customWidth="1"/>
    <col min="7747" max="7747" width="10.7109375" style="75" customWidth="1"/>
    <col min="7748" max="7748" width="20.5703125" style="75" customWidth="1"/>
    <col min="7749" max="7749" width="9.140625" style="75" customWidth="1"/>
    <col min="7750" max="7750" width="4.7109375" style="75" customWidth="1"/>
    <col min="7751" max="7751" width="19.5703125" style="75" customWidth="1"/>
    <col min="7752" max="7752" width="8.85546875" style="75" customWidth="1"/>
    <col min="7753" max="7755" width="10.28515625" style="75" customWidth="1"/>
    <col min="7756" max="7756" width="10" style="75" customWidth="1"/>
    <col min="7757" max="7757" width="5.140625" style="75" customWidth="1"/>
    <col min="7758" max="7758" width="10.7109375" style="75" customWidth="1"/>
    <col min="7759" max="7759" width="22" style="75" customWidth="1"/>
    <col min="7760" max="7765" width="9.140625" style="75" customWidth="1"/>
    <col min="7766" max="7963" width="9.140625" style="75"/>
    <col min="7964" max="7964" width="4.7109375" style="75" customWidth="1"/>
    <col min="7965" max="7965" width="24.28515625" style="75" bestFit="1" customWidth="1"/>
    <col min="7966" max="7966" width="9" style="75" customWidth="1"/>
    <col min="7967" max="7967" width="11" style="75" bestFit="1" customWidth="1"/>
    <col min="7968" max="7968" width="10" style="75" customWidth="1"/>
    <col min="7969" max="7969" width="5.140625" style="75" customWidth="1"/>
    <col min="7970" max="7970" width="10.7109375" style="75" customWidth="1"/>
    <col min="7971" max="7971" width="16.7109375" style="75" customWidth="1"/>
    <col min="7972" max="7972" width="9.140625" style="75" customWidth="1"/>
    <col min="7973" max="7973" width="4.7109375" style="75" customWidth="1"/>
    <col min="7974" max="7974" width="19.85546875" style="75" customWidth="1"/>
    <col min="7975" max="7975" width="8.85546875" style="75" customWidth="1"/>
    <col min="7976" max="7976" width="11.85546875" style="75" bestFit="1" customWidth="1"/>
    <col min="7977" max="7978" width="9.85546875" style="75" customWidth="1"/>
    <col min="7979" max="7979" width="10" style="75" customWidth="1"/>
    <col min="7980" max="7980" width="5.140625" style="75" customWidth="1"/>
    <col min="7981" max="7981" width="10.7109375" style="75" customWidth="1"/>
    <col min="7982" max="7982" width="16.42578125" style="75" bestFit="1" customWidth="1"/>
    <col min="7983" max="7983" width="9.140625" style="75" customWidth="1"/>
    <col min="7984" max="7984" width="4.7109375" style="75" customWidth="1"/>
    <col min="7985" max="7985" width="22.140625" style="75" bestFit="1" customWidth="1"/>
    <col min="7986" max="7986" width="8.85546875" style="75" customWidth="1"/>
    <col min="7987" max="7987" width="11.85546875" style="75" bestFit="1" customWidth="1"/>
    <col min="7988" max="7989" width="9.85546875" style="75" customWidth="1"/>
    <col min="7990" max="7990" width="10" style="75" customWidth="1"/>
    <col min="7991" max="7991" width="5.140625" style="75" customWidth="1"/>
    <col min="7992" max="7992" width="10.7109375" style="75" customWidth="1"/>
    <col min="7993" max="7993" width="17.42578125" style="75" customWidth="1"/>
    <col min="7994" max="7994" width="9.140625" style="75" customWidth="1"/>
    <col min="7995" max="7995" width="4.7109375" style="75" customWidth="1"/>
    <col min="7996" max="7996" width="19.5703125" style="75" customWidth="1"/>
    <col min="7997" max="7997" width="8.85546875" style="75" customWidth="1"/>
    <col min="7998" max="8000" width="9.85546875" style="75" customWidth="1"/>
    <col min="8001" max="8001" width="10" style="75" customWidth="1"/>
    <col min="8002" max="8002" width="5.140625" style="75" customWidth="1"/>
    <col min="8003" max="8003" width="10.7109375" style="75" customWidth="1"/>
    <col min="8004" max="8004" width="20.5703125" style="75" customWidth="1"/>
    <col min="8005" max="8005" width="9.140625" style="75" customWidth="1"/>
    <col min="8006" max="8006" width="4.7109375" style="75" customWidth="1"/>
    <col min="8007" max="8007" width="19.5703125" style="75" customWidth="1"/>
    <col min="8008" max="8008" width="8.85546875" style="75" customWidth="1"/>
    <col min="8009" max="8011" width="10.28515625" style="75" customWidth="1"/>
    <col min="8012" max="8012" width="10" style="75" customWidth="1"/>
    <col min="8013" max="8013" width="5.140625" style="75" customWidth="1"/>
    <col min="8014" max="8014" width="10.7109375" style="75" customWidth="1"/>
    <col min="8015" max="8015" width="22" style="75" customWidth="1"/>
    <col min="8016" max="8021" width="9.140625" style="75" customWidth="1"/>
    <col min="8022" max="8219" width="9.140625" style="75"/>
    <col min="8220" max="8220" width="4.7109375" style="75" customWidth="1"/>
    <col min="8221" max="8221" width="24.28515625" style="75" bestFit="1" customWidth="1"/>
    <col min="8222" max="8222" width="9" style="75" customWidth="1"/>
    <col min="8223" max="8223" width="11" style="75" bestFit="1" customWidth="1"/>
    <col min="8224" max="8224" width="10" style="75" customWidth="1"/>
    <col min="8225" max="8225" width="5.140625" style="75" customWidth="1"/>
    <col min="8226" max="8226" width="10.7109375" style="75" customWidth="1"/>
    <col min="8227" max="8227" width="16.7109375" style="75" customWidth="1"/>
    <col min="8228" max="8228" width="9.140625" style="75" customWidth="1"/>
    <col min="8229" max="8229" width="4.7109375" style="75" customWidth="1"/>
    <col min="8230" max="8230" width="19.85546875" style="75" customWidth="1"/>
    <col min="8231" max="8231" width="8.85546875" style="75" customWidth="1"/>
    <col min="8232" max="8232" width="11.85546875" style="75" bestFit="1" customWidth="1"/>
    <col min="8233" max="8234" width="9.85546875" style="75" customWidth="1"/>
    <col min="8235" max="8235" width="10" style="75" customWidth="1"/>
    <col min="8236" max="8236" width="5.140625" style="75" customWidth="1"/>
    <col min="8237" max="8237" width="10.7109375" style="75" customWidth="1"/>
    <col min="8238" max="8238" width="16.42578125" style="75" bestFit="1" customWidth="1"/>
    <col min="8239" max="8239" width="9.140625" style="75" customWidth="1"/>
    <col min="8240" max="8240" width="4.7109375" style="75" customWidth="1"/>
    <col min="8241" max="8241" width="22.140625" style="75" bestFit="1" customWidth="1"/>
    <col min="8242" max="8242" width="8.85546875" style="75" customWidth="1"/>
    <col min="8243" max="8243" width="11.85546875" style="75" bestFit="1" customWidth="1"/>
    <col min="8244" max="8245" width="9.85546875" style="75" customWidth="1"/>
    <col min="8246" max="8246" width="10" style="75" customWidth="1"/>
    <col min="8247" max="8247" width="5.140625" style="75" customWidth="1"/>
    <col min="8248" max="8248" width="10.7109375" style="75" customWidth="1"/>
    <col min="8249" max="8249" width="17.42578125" style="75" customWidth="1"/>
    <col min="8250" max="8250" width="9.140625" style="75" customWidth="1"/>
    <col min="8251" max="8251" width="4.7109375" style="75" customWidth="1"/>
    <col min="8252" max="8252" width="19.5703125" style="75" customWidth="1"/>
    <col min="8253" max="8253" width="8.85546875" style="75" customWidth="1"/>
    <col min="8254" max="8256" width="9.85546875" style="75" customWidth="1"/>
    <col min="8257" max="8257" width="10" style="75" customWidth="1"/>
    <col min="8258" max="8258" width="5.140625" style="75" customWidth="1"/>
    <col min="8259" max="8259" width="10.7109375" style="75" customWidth="1"/>
    <col min="8260" max="8260" width="20.5703125" style="75" customWidth="1"/>
    <col min="8261" max="8261" width="9.140625" style="75" customWidth="1"/>
    <col min="8262" max="8262" width="4.7109375" style="75" customWidth="1"/>
    <col min="8263" max="8263" width="19.5703125" style="75" customWidth="1"/>
    <col min="8264" max="8264" width="8.85546875" style="75" customWidth="1"/>
    <col min="8265" max="8267" width="10.28515625" style="75" customWidth="1"/>
    <col min="8268" max="8268" width="10" style="75" customWidth="1"/>
    <col min="8269" max="8269" width="5.140625" style="75" customWidth="1"/>
    <col min="8270" max="8270" width="10.7109375" style="75" customWidth="1"/>
    <col min="8271" max="8271" width="22" style="75" customWidth="1"/>
    <col min="8272" max="8277" width="9.140625" style="75" customWidth="1"/>
    <col min="8278" max="8475" width="9.140625" style="75"/>
    <col min="8476" max="8476" width="4.7109375" style="75" customWidth="1"/>
    <col min="8477" max="8477" width="24.28515625" style="75" bestFit="1" customWidth="1"/>
    <col min="8478" max="8478" width="9" style="75" customWidth="1"/>
    <col min="8479" max="8479" width="11" style="75" bestFit="1" customWidth="1"/>
    <col min="8480" max="8480" width="10" style="75" customWidth="1"/>
    <col min="8481" max="8481" width="5.140625" style="75" customWidth="1"/>
    <col min="8482" max="8482" width="10.7109375" style="75" customWidth="1"/>
    <col min="8483" max="8483" width="16.7109375" style="75" customWidth="1"/>
    <col min="8484" max="8484" width="9.140625" style="75" customWidth="1"/>
    <col min="8485" max="8485" width="4.7109375" style="75" customWidth="1"/>
    <col min="8486" max="8486" width="19.85546875" style="75" customWidth="1"/>
    <col min="8487" max="8487" width="8.85546875" style="75" customWidth="1"/>
    <col min="8488" max="8488" width="11.85546875" style="75" bestFit="1" customWidth="1"/>
    <col min="8489" max="8490" width="9.85546875" style="75" customWidth="1"/>
    <col min="8491" max="8491" width="10" style="75" customWidth="1"/>
    <col min="8492" max="8492" width="5.140625" style="75" customWidth="1"/>
    <col min="8493" max="8493" width="10.7109375" style="75" customWidth="1"/>
    <col min="8494" max="8494" width="16.42578125" style="75" bestFit="1" customWidth="1"/>
    <col min="8495" max="8495" width="9.140625" style="75" customWidth="1"/>
    <col min="8496" max="8496" width="4.7109375" style="75" customWidth="1"/>
    <col min="8497" max="8497" width="22.140625" style="75" bestFit="1" customWidth="1"/>
    <col min="8498" max="8498" width="8.85546875" style="75" customWidth="1"/>
    <col min="8499" max="8499" width="11.85546875" style="75" bestFit="1" customWidth="1"/>
    <col min="8500" max="8501" width="9.85546875" style="75" customWidth="1"/>
    <col min="8502" max="8502" width="10" style="75" customWidth="1"/>
    <col min="8503" max="8503" width="5.140625" style="75" customWidth="1"/>
    <col min="8504" max="8504" width="10.7109375" style="75" customWidth="1"/>
    <col min="8505" max="8505" width="17.42578125" style="75" customWidth="1"/>
    <col min="8506" max="8506" width="9.140625" style="75" customWidth="1"/>
    <col min="8507" max="8507" width="4.7109375" style="75" customWidth="1"/>
    <col min="8508" max="8508" width="19.5703125" style="75" customWidth="1"/>
    <col min="8509" max="8509" width="8.85546875" style="75" customWidth="1"/>
    <col min="8510" max="8512" width="9.85546875" style="75" customWidth="1"/>
    <col min="8513" max="8513" width="10" style="75" customWidth="1"/>
    <col min="8514" max="8514" width="5.140625" style="75" customWidth="1"/>
    <col min="8515" max="8515" width="10.7109375" style="75" customWidth="1"/>
    <col min="8516" max="8516" width="20.5703125" style="75" customWidth="1"/>
    <col min="8517" max="8517" width="9.140625" style="75" customWidth="1"/>
    <col min="8518" max="8518" width="4.7109375" style="75" customWidth="1"/>
    <col min="8519" max="8519" width="19.5703125" style="75" customWidth="1"/>
    <col min="8520" max="8520" width="8.85546875" style="75" customWidth="1"/>
    <col min="8521" max="8523" width="10.28515625" style="75" customWidth="1"/>
    <col min="8524" max="8524" width="10" style="75" customWidth="1"/>
    <col min="8525" max="8525" width="5.140625" style="75" customWidth="1"/>
    <col min="8526" max="8526" width="10.7109375" style="75" customWidth="1"/>
    <col min="8527" max="8527" width="22" style="75" customWidth="1"/>
    <col min="8528" max="8533" width="9.140625" style="75" customWidth="1"/>
    <col min="8534" max="8731" width="9.140625" style="75"/>
    <col min="8732" max="8732" width="4.7109375" style="75" customWidth="1"/>
    <col min="8733" max="8733" width="24.28515625" style="75" bestFit="1" customWidth="1"/>
    <col min="8734" max="8734" width="9" style="75" customWidth="1"/>
    <col min="8735" max="8735" width="11" style="75" bestFit="1" customWidth="1"/>
    <col min="8736" max="8736" width="10" style="75" customWidth="1"/>
    <col min="8737" max="8737" width="5.140625" style="75" customWidth="1"/>
    <col min="8738" max="8738" width="10.7109375" style="75" customWidth="1"/>
    <col min="8739" max="8739" width="16.7109375" style="75" customWidth="1"/>
    <col min="8740" max="8740" width="9.140625" style="75" customWidth="1"/>
    <col min="8741" max="8741" width="4.7109375" style="75" customWidth="1"/>
    <col min="8742" max="8742" width="19.85546875" style="75" customWidth="1"/>
    <col min="8743" max="8743" width="8.85546875" style="75" customWidth="1"/>
    <col min="8744" max="8744" width="11.85546875" style="75" bestFit="1" customWidth="1"/>
    <col min="8745" max="8746" width="9.85546875" style="75" customWidth="1"/>
    <col min="8747" max="8747" width="10" style="75" customWidth="1"/>
    <col min="8748" max="8748" width="5.140625" style="75" customWidth="1"/>
    <col min="8749" max="8749" width="10.7109375" style="75" customWidth="1"/>
    <col min="8750" max="8750" width="16.42578125" style="75" bestFit="1" customWidth="1"/>
    <col min="8751" max="8751" width="9.140625" style="75" customWidth="1"/>
    <col min="8752" max="8752" width="4.7109375" style="75" customWidth="1"/>
    <col min="8753" max="8753" width="22.140625" style="75" bestFit="1" customWidth="1"/>
    <col min="8754" max="8754" width="8.85546875" style="75" customWidth="1"/>
    <col min="8755" max="8755" width="11.85546875" style="75" bestFit="1" customWidth="1"/>
    <col min="8756" max="8757" width="9.85546875" style="75" customWidth="1"/>
    <col min="8758" max="8758" width="10" style="75" customWidth="1"/>
    <col min="8759" max="8759" width="5.140625" style="75" customWidth="1"/>
    <col min="8760" max="8760" width="10.7109375" style="75" customWidth="1"/>
    <col min="8761" max="8761" width="17.42578125" style="75" customWidth="1"/>
    <col min="8762" max="8762" width="9.140625" style="75" customWidth="1"/>
    <col min="8763" max="8763" width="4.7109375" style="75" customWidth="1"/>
    <col min="8764" max="8764" width="19.5703125" style="75" customWidth="1"/>
    <col min="8765" max="8765" width="8.85546875" style="75" customWidth="1"/>
    <col min="8766" max="8768" width="9.85546875" style="75" customWidth="1"/>
    <col min="8769" max="8769" width="10" style="75" customWidth="1"/>
    <col min="8770" max="8770" width="5.140625" style="75" customWidth="1"/>
    <col min="8771" max="8771" width="10.7109375" style="75" customWidth="1"/>
    <col min="8772" max="8772" width="20.5703125" style="75" customWidth="1"/>
    <col min="8773" max="8773" width="9.140625" style="75" customWidth="1"/>
    <col min="8774" max="8774" width="4.7109375" style="75" customWidth="1"/>
    <col min="8775" max="8775" width="19.5703125" style="75" customWidth="1"/>
    <col min="8776" max="8776" width="8.85546875" style="75" customWidth="1"/>
    <col min="8777" max="8779" width="10.28515625" style="75" customWidth="1"/>
    <col min="8780" max="8780" width="10" style="75" customWidth="1"/>
    <col min="8781" max="8781" width="5.140625" style="75" customWidth="1"/>
    <col min="8782" max="8782" width="10.7109375" style="75" customWidth="1"/>
    <col min="8783" max="8783" width="22" style="75" customWidth="1"/>
    <col min="8784" max="8789" width="9.140625" style="75" customWidth="1"/>
    <col min="8790" max="8987" width="9.140625" style="75"/>
    <col min="8988" max="8988" width="4.7109375" style="75" customWidth="1"/>
    <col min="8989" max="8989" width="24.28515625" style="75" bestFit="1" customWidth="1"/>
    <col min="8990" max="8990" width="9" style="75" customWidth="1"/>
    <col min="8991" max="8991" width="11" style="75" bestFit="1" customWidth="1"/>
    <col min="8992" max="8992" width="10" style="75" customWidth="1"/>
    <col min="8993" max="8993" width="5.140625" style="75" customWidth="1"/>
    <col min="8994" max="8994" width="10.7109375" style="75" customWidth="1"/>
    <col min="8995" max="8995" width="16.7109375" style="75" customWidth="1"/>
    <col min="8996" max="8996" width="9.140625" style="75" customWidth="1"/>
    <col min="8997" max="8997" width="4.7109375" style="75" customWidth="1"/>
    <col min="8998" max="8998" width="19.85546875" style="75" customWidth="1"/>
    <col min="8999" max="8999" width="8.85546875" style="75" customWidth="1"/>
    <col min="9000" max="9000" width="11.85546875" style="75" bestFit="1" customWidth="1"/>
    <col min="9001" max="9002" width="9.85546875" style="75" customWidth="1"/>
    <col min="9003" max="9003" width="10" style="75" customWidth="1"/>
    <col min="9004" max="9004" width="5.140625" style="75" customWidth="1"/>
    <col min="9005" max="9005" width="10.7109375" style="75" customWidth="1"/>
    <col min="9006" max="9006" width="16.42578125" style="75" bestFit="1" customWidth="1"/>
    <col min="9007" max="9007" width="9.140625" style="75" customWidth="1"/>
    <col min="9008" max="9008" width="4.7109375" style="75" customWidth="1"/>
    <col min="9009" max="9009" width="22.140625" style="75" bestFit="1" customWidth="1"/>
    <col min="9010" max="9010" width="8.85546875" style="75" customWidth="1"/>
    <col min="9011" max="9011" width="11.85546875" style="75" bestFit="1" customWidth="1"/>
    <col min="9012" max="9013" width="9.85546875" style="75" customWidth="1"/>
    <col min="9014" max="9014" width="10" style="75" customWidth="1"/>
    <col min="9015" max="9015" width="5.140625" style="75" customWidth="1"/>
    <col min="9016" max="9016" width="10.7109375" style="75" customWidth="1"/>
    <col min="9017" max="9017" width="17.42578125" style="75" customWidth="1"/>
    <col min="9018" max="9018" width="9.140625" style="75" customWidth="1"/>
    <col min="9019" max="9019" width="4.7109375" style="75" customWidth="1"/>
    <col min="9020" max="9020" width="19.5703125" style="75" customWidth="1"/>
    <col min="9021" max="9021" width="8.85546875" style="75" customWidth="1"/>
    <col min="9022" max="9024" width="9.85546875" style="75" customWidth="1"/>
    <col min="9025" max="9025" width="10" style="75" customWidth="1"/>
    <col min="9026" max="9026" width="5.140625" style="75" customWidth="1"/>
    <col min="9027" max="9027" width="10.7109375" style="75" customWidth="1"/>
    <col min="9028" max="9028" width="20.5703125" style="75" customWidth="1"/>
    <col min="9029" max="9029" width="9.140625" style="75" customWidth="1"/>
    <col min="9030" max="9030" width="4.7109375" style="75" customWidth="1"/>
    <col min="9031" max="9031" width="19.5703125" style="75" customWidth="1"/>
    <col min="9032" max="9032" width="8.85546875" style="75" customWidth="1"/>
    <col min="9033" max="9035" width="10.28515625" style="75" customWidth="1"/>
    <col min="9036" max="9036" width="10" style="75" customWidth="1"/>
    <col min="9037" max="9037" width="5.140625" style="75" customWidth="1"/>
    <col min="9038" max="9038" width="10.7109375" style="75" customWidth="1"/>
    <col min="9039" max="9039" width="22" style="75" customWidth="1"/>
    <col min="9040" max="9045" width="9.140625" style="75" customWidth="1"/>
    <col min="9046" max="9243" width="9.140625" style="75"/>
    <col min="9244" max="9244" width="4.7109375" style="75" customWidth="1"/>
    <col min="9245" max="9245" width="24.28515625" style="75" bestFit="1" customWidth="1"/>
    <col min="9246" max="9246" width="9" style="75" customWidth="1"/>
    <col min="9247" max="9247" width="11" style="75" bestFit="1" customWidth="1"/>
    <col min="9248" max="9248" width="10" style="75" customWidth="1"/>
    <col min="9249" max="9249" width="5.140625" style="75" customWidth="1"/>
    <col min="9250" max="9250" width="10.7109375" style="75" customWidth="1"/>
    <col min="9251" max="9251" width="16.7109375" style="75" customWidth="1"/>
    <col min="9252" max="9252" width="9.140625" style="75" customWidth="1"/>
    <col min="9253" max="9253" width="4.7109375" style="75" customWidth="1"/>
    <col min="9254" max="9254" width="19.85546875" style="75" customWidth="1"/>
    <col min="9255" max="9255" width="8.85546875" style="75" customWidth="1"/>
    <col min="9256" max="9256" width="11.85546875" style="75" bestFit="1" customWidth="1"/>
    <col min="9257" max="9258" width="9.85546875" style="75" customWidth="1"/>
    <col min="9259" max="9259" width="10" style="75" customWidth="1"/>
    <col min="9260" max="9260" width="5.140625" style="75" customWidth="1"/>
    <col min="9261" max="9261" width="10.7109375" style="75" customWidth="1"/>
    <col min="9262" max="9262" width="16.42578125" style="75" bestFit="1" customWidth="1"/>
    <col min="9263" max="9263" width="9.140625" style="75" customWidth="1"/>
    <col min="9264" max="9264" width="4.7109375" style="75" customWidth="1"/>
    <col min="9265" max="9265" width="22.140625" style="75" bestFit="1" customWidth="1"/>
    <col min="9266" max="9266" width="8.85546875" style="75" customWidth="1"/>
    <col min="9267" max="9267" width="11.85546875" style="75" bestFit="1" customWidth="1"/>
    <col min="9268" max="9269" width="9.85546875" style="75" customWidth="1"/>
    <col min="9270" max="9270" width="10" style="75" customWidth="1"/>
    <col min="9271" max="9271" width="5.140625" style="75" customWidth="1"/>
    <col min="9272" max="9272" width="10.7109375" style="75" customWidth="1"/>
    <col min="9273" max="9273" width="17.42578125" style="75" customWidth="1"/>
    <col min="9274" max="9274" width="9.140625" style="75" customWidth="1"/>
    <col min="9275" max="9275" width="4.7109375" style="75" customWidth="1"/>
    <col min="9276" max="9276" width="19.5703125" style="75" customWidth="1"/>
    <col min="9277" max="9277" width="8.85546875" style="75" customWidth="1"/>
    <col min="9278" max="9280" width="9.85546875" style="75" customWidth="1"/>
    <col min="9281" max="9281" width="10" style="75" customWidth="1"/>
    <col min="9282" max="9282" width="5.140625" style="75" customWidth="1"/>
    <col min="9283" max="9283" width="10.7109375" style="75" customWidth="1"/>
    <col min="9284" max="9284" width="20.5703125" style="75" customWidth="1"/>
    <col min="9285" max="9285" width="9.140625" style="75" customWidth="1"/>
    <col min="9286" max="9286" width="4.7109375" style="75" customWidth="1"/>
    <col min="9287" max="9287" width="19.5703125" style="75" customWidth="1"/>
    <col min="9288" max="9288" width="8.85546875" style="75" customWidth="1"/>
    <col min="9289" max="9291" width="10.28515625" style="75" customWidth="1"/>
    <col min="9292" max="9292" width="10" style="75" customWidth="1"/>
    <col min="9293" max="9293" width="5.140625" style="75" customWidth="1"/>
    <col min="9294" max="9294" width="10.7109375" style="75" customWidth="1"/>
    <col min="9295" max="9295" width="22" style="75" customWidth="1"/>
    <col min="9296" max="9301" width="9.140625" style="75" customWidth="1"/>
    <col min="9302" max="9499" width="9.140625" style="75"/>
    <col min="9500" max="9500" width="4.7109375" style="75" customWidth="1"/>
    <col min="9501" max="9501" width="24.28515625" style="75" bestFit="1" customWidth="1"/>
    <col min="9502" max="9502" width="9" style="75" customWidth="1"/>
    <col min="9503" max="9503" width="11" style="75" bestFit="1" customWidth="1"/>
    <col min="9504" max="9504" width="10" style="75" customWidth="1"/>
    <col min="9505" max="9505" width="5.140625" style="75" customWidth="1"/>
    <col min="9506" max="9506" width="10.7109375" style="75" customWidth="1"/>
    <col min="9507" max="9507" width="16.7109375" style="75" customWidth="1"/>
    <col min="9508" max="9508" width="9.140625" style="75" customWidth="1"/>
    <col min="9509" max="9509" width="4.7109375" style="75" customWidth="1"/>
    <col min="9510" max="9510" width="19.85546875" style="75" customWidth="1"/>
    <col min="9511" max="9511" width="8.85546875" style="75" customWidth="1"/>
    <col min="9512" max="9512" width="11.85546875" style="75" bestFit="1" customWidth="1"/>
    <col min="9513" max="9514" width="9.85546875" style="75" customWidth="1"/>
    <col min="9515" max="9515" width="10" style="75" customWidth="1"/>
    <col min="9516" max="9516" width="5.140625" style="75" customWidth="1"/>
    <col min="9517" max="9517" width="10.7109375" style="75" customWidth="1"/>
    <col min="9518" max="9518" width="16.42578125" style="75" bestFit="1" customWidth="1"/>
    <col min="9519" max="9519" width="9.140625" style="75" customWidth="1"/>
    <col min="9520" max="9520" width="4.7109375" style="75" customWidth="1"/>
    <col min="9521" max="9521" width="22.140625" style="75" bestFit="1" customWidth="1"/>
    <col min="9522" max="9522" width="8.85546875" style="75" customWidth="1"/>
    <col min="9523" max="9523" width="11.85546875" style="75" bestFit="1" customWidth="1"/>
    <col min="9524" max="9525" width="9.85546875" style="75" customWidth="1"/>
    <col min="9526" max="9526" width="10" style="75" customWidth="1"/>
    <col min="9527" max="9527" width="5.140625" style="75" customWidth="1"/>
    <col min="9528" max="9528" width="10.7109375" style="75" customWidth="1"/>
    <col min="9529" max="9529" width="17.42578125" style="75" customWidth="1"/>
    <col min="9530" max="9530" width="9.140625" style="75" customWidth="1"/>
    <col min="9531" max="9531" width="4.7109375" style="75" customWidth="1"/>
    <col min="9532" max="9532" width="19.5703125" style="75" customWidth="1"/>
    <col min="9533" max="9533" width="8.85546875" style="75" customWidth="1"/>
    <col min="9534" max="9536" width="9.85546875" style="75" customWidth="1"/>
    <col min="9537" max="9537" width="10" style="75" customWidth="1"/>
    <col min="9538" max="9538" width="5.140625" style="75" customWidth="1"/>
    <col min="9539" max="9539" width="10.7109375" style="75" customWidth="1"/>
    <col min="9540" max="9540" width="20.5703125" style="75" customWidth="1"/>
    <col min="9541" max="9541" width="9.140625" style="75" customWidth="1"/>
    <col min="9542" max="9542" width="4.7109375" style="75" customWidth="1"/>
    <col min="9543" max="9543" width="19.5703125" style="75" customWidth="1"/>
    <col min="9544" max="9544" width="8.85546875" style="75" customWidth="1"/>
    <col min="9545" max="9547" width="10.28515625" style="75" customWidth="1"/>
    <col min="9548" max="9548" width="10" style="75" customWidth="1"/>
    <col min="9549" max="9549" width="5.140625" style="75" customWidth="1"/>
    <col min="9550" max="9550" width="10.7109375" style="75" customWidth="1"/>
    <col min="9551" max="9551" width="22" style="75" customWidth="1"/>
    <col min="9552" max="9557" width="9.140625" style="75" customWidth="1"/>
    <col min="9558" max="9755" width="9.140625" style="75"/>
    <col min="9756" max="9756" width="4.7109375" style="75" customWidth="1"/>
    <col min="9757" max="9757" width="24.28515625" style="75" bestFit="1" customWidth="1"/>
    <col min="9758" max="9758" width="9" style="75" customWidth="1"/>
    <col min="9759" max="9759" width="11" style="75" bestFit="1" customWidth="1"/>
    <col min="9760" max="9760" width="10" style="75" customWidth="1"/>
    <col min="9761" max="9761" width="5.140625" style="75" customWidth="1"/>
    <col min="9762" max="9762" width="10.7109375" style="75" customWidth="1"/>
    <col min="9763" max="9763" width="16.7109375" style="75" customWidth="1"/>
    <col min="9764" max="9764" width="9.140625" style="75" customWidth="1"/>
    <col min="9765" max="9765" width="4.7109375" style="75" customWidth="1"/>
    <col min="9766" max="9766" width="19.85546875" style="75" customWidth="1"/>
    <col min="9767" max="9767" width="8.85546875" style="75" customWidth="1"/>
    <col min="9768" max="9768" width="11.85546875" style="75" bestFit="1" customWidth="1"/>
    <col min="9769" max="9770" width="9.85546875" style="75" customWidth="1"/>
    <col min="9771" max="9771" width="10" style="75" customWidth="1"/>
    <col min="9772" max="9772" width="5.140625" style="75" customWidth="1"/>
    <col min="9773" max="9773" width="10.7109375" style="75" customWidth="1"/>
    <col min="9774" max="9774" width="16.42578125" style="75" bestFit="1" customWidth="1"/>
    <col min="9775" max="9775" width="9.140625" style="75" customWidth="1"/>
    <col min="9776" max="9776" width="4.7109375" style="75" customWidth="1"/>
    <col min="9777" max="9777" width="22.140625" style="75" bestFit="1" customWidth="1"/>
    <col min="9778" max="9778" width="8.85546875" style="75" customWidth="1"/>
    <col min="9779" max="9779" width="11.85546875" style="75" bestFit="1" customWidth="1"/>
    <col min="9780" max="9781" width="9.85546875" style="75" customWidth="1"/>
    <col min="9782" max="9782" width="10" style="75" customWidth="1"/>
    <col min="9783" max="9783" width="5.140625" style="75" customWidth="1"/>
    <col min="9784" max="9784" width="10.7109375" style="75" customWidth="1"/>
    <col min="9785" max="9785" width="17.42578125" style="75" customWidth="1"/>
    <col min="9786" max="9786" width="9.140625" style="75" customWidth="1"/>
    <col min="9787" max="9787" width="4.7109375" style="75" customWidth="1"/>
    <col min="9788" max="9788" width="19.5703125" style="75" customWidth="1"/>
    <col min="9789" max="9789" width="8.85546875" style="75" customWidth="1"/>
    <col min="9790" max="9792" width="9.85546875" style="75" customWidth="1"/>
    <col min="9793" max="9793" width="10" style="75" customWidth="1"/>
    <col min="9794" max="9794" width="5.140625" style="75" customWidth="1"/>
    <col min="9795" max="9795" width="10.7109375" style="75" customWidth="1"/>
    <col min="9796" max="9796" width="20.5703125" style="75" customWidth="1"/>
    <col min="9797" max="9797" width="9.140625" style="75" customWidth="1"/>
    <col min="9798" max="9798" width="4.7109375" style="75" customWidth="1"/>
    <col min="9799" max="9799" width="19.5703125" style="75" customWidth="1"/>
    <col min="9800" max="9800" width="8.85546875" style="75" customWidth="1"/>
    <col min="9801" max="9803" width="10.28515625" style="75" customWidth="1"/>
    <col min="9804" max="9804" width="10" style="75" customWidth="1"/>
    <col min="9805" max="9805" width="5.140625" style="75" customWidth="1"/>
    <col min="9806" max="9806" width="10.7109375" style="75" customWidth="1"/>
    <col min="9807" max="9807" width="22" style="75" customWidth="1"/>
    <col min="9808" max="9813" width="9.140625" style="75" customWidth="1"/>
    <col min="9814" max="10011" width="9.140625" style="75"/>
    <col min="10012" max="10012" width="4.7109375" style="75" customWidth="1"/>
    <col min="10013" max="10013" width="24.28515625" style="75" bestFit="1" customWidth="1"/>
    <col min="10014" max="10014" width="9" style="75" customWidth="1"/>
    <col min="10015" max="10015" width="11" style="75" bestFit="1" customWidth="1"/>
    <col min="10016" max="10016" width="10" style="75" customWidth="1"/>
    <col min="10017" max="10017" width="5.140625" style="75" customWidth="1"/>
    <col min="10018" max="10018" width="10.7109375" style="75" customWidth="1"/>
    <col min="10019" max="10019" width="16.7109375" style="75" customWidth="1"/>
    <col min="10020" max="10020" width="9.140625" style="75" customWidth="1"/>
    <col min="10021" max="10021" width="4.7109375" style="75" customWidth="1"/>
    <col min="10022" max="10022" width="19.85546875" style="75" customWidth="1"/>
    <col min="10023" max="10023" width="8.85546875" style="75" customWidth="1"/>
    <col min="10024" max="10024" width="11.85546875" style="75" bestFit="1" customWidth="1"/>
    <col min="10025" max="10026" width="9.85546875" style="75" customWidth="1"/>
    <col min="10027" max="10027" width="10" style="75" customWidth="1"/>
    <col min="10028" max="10028" width="5.140625" style="75" customWidth="1"/>
    <col min="10029" max="10029" width="10.7109375" style="75" customWidth="1"/>
    <col min="10030" max="10030" width="16.42578125" style="75" bestFit="1" customWidth="1"/>
    <col min="10031" max="10031" width="9.140625" style="75" customWidth="1"/>
    <col min="10032" max="10032" width="4.7109375" style="75" customWidth="1"/>
    <col min="10033" max="10033" width="22.140625" style="75" bestFit="1" customWidth="1"/>
    <col min="10034" max="10034" width="8.85546875" style="75" customWidth="1"/>
    <col min="10035" max="10035" width="11.85546875" style="75" bestFit="1" customWidth="1"/>
    <col min="10036" max="10037" width="9.85546875" style="75" customWidth="1"/>
    <col min="10038" max="10038" width="10" style="75" customWidth="1"/>
    <col min="10039" max="10039" width="5.140625" style="75" customWidth="1"/>
    <col min="10040" max="10040" width="10.7109375" style="75" customWidth="1"/>
    <col min="10041" max="10041" width="17.42578125" style="75" customWidth="1"/>
    <col min="10042" max="10042" width="9.140625" style="75" customWidth="1"/>
    <col min="10043" max="10043" width="4.7109375" style="75" customWidth="1"/>
    <col min="10044" max="10044" width="19.5703125" style="75" customWidth="1"/>
    <col min="10045" max="10045" width="8.85546875" style="75" customWidth="1"/>
    <col min="10046" max="10048" width="9.85546875" style="75" customWidth="1"/>
    <col min="10049" max="10049" width="10" style="75" customWidth="1"/>
    <col min="10050" max="10050" width="5.140625" style="75" customWidth="1"/>
    <col min="10051" max="10051" width="10.7109375" style="75" customWidth="1"/>
    <col min="10052" max="10052" width="20.5703125" style="75" customWidth="1"/>
    <col min="10053" max="10053" width="9.140625" style="75" customWidth="1"/>
    <col min="10054" max="10054" width="4.7109375" style="75" customWidth="1"/>
    <col min="10055" max="10055" width="19.5703125" style="75" customWidth="1"/>
    <col min="10056" max="10056" width="8.85546875" style="75" customWidth="1"/>
    <col min="10057" max="10059" width="10.28515625" style="75" customWidth="1"/>
    <col min="10060" max="10060" width="10" style="75" customWidth="1"/>
    <col min="10061" max="10061" width="5.140625" style="75" customWidth="1"/>
    <col min="10062" max="10062" width="10.7109375" style="75" customWidth="1"/>
    <col min="10063" max="10063" width="22" style="75" customWidth="1"/>
    <col min="10064" max="10069" width="9.140625" style="75" customWidth="1"/>
    <col min="10070" max="10267" width="9.140625" style="75"/>
    <col min="10268" max="10268" width="4.7109375" style="75" customWidth="1"/>
    <col min="10269" max="10269" width="24.28515625" style="75" bestFit="1" customWidth="1"/>
    <col min="10270" max="10270" width="9" style="75" customWidth="1"/>
    <col min="10271" max="10271" width="11" style="75" bestFit="1" customWidth="1"/>
    <col min="10272" max="10272" width="10" style="75" customWidth="1"/>
    <col min="10273" max="10273" width="5.140625" style="75" customWidth="1"/>
    <col min="10274" max="10274" width="10.7109375" style="75" customWidth="1"/>
    <col min="10275" max="10275" width="16.7109375" style="75" customWidth="1"/>
    <col min="10276" max="10276" width="9.140625" style="75" customWidth="1"/>
    <col min="10277" max="10277" width="4.7109375" style="75" customWidth="1"/>
    <col min="10278" max="10278" width="19.85546875" style="75" customWidth="1"/>
    <col min="10279" max="10279" width="8.85546875" style="75" customWidth="1"/>
    <col min="10280" max="10280" width="11.85546875" style="75" bestFit="1" customWidth="1"/>
    <col min="10281" max="10282" width="9.85546875" style="75" customWidth="1"/>
    <col min="10283" max="10283" width="10" style="75" customWidth="1"/>
    <col min="10284" max="10284" width="5.140625" style="75" customWidth="1"/>
    <col min="10285" max="10285" width="10.7109375" style="75" customWidth="1"/>
    <col min="10286" max="10286" width="16.42578125" style="75" bestFit="1" customWidth="1"/>
    <col min="10287" max="10287" width="9.140625" style="75" customWidth="1"/>
    <col min="10288" max="10288" width="4.7109375" style="75" customWidth="1"/>
    <col min="10289" max="10289" width="22.140625" style="75" bestFit="1" customWidth="1"/>
    <col min="10290" max="10290" width="8.85546875" style="75" customWidth="1"/>
    <col min="10291" max="10291" width="11.85546875" style="75" bestFit="1" customWidth="1"/>
    <col min="10292" max="10293" width="9.85546875" style="75" customWidth="1"/>
    <col min="10294" max="10294" width="10" style="75" customWidth="1"/>
    <col min="10295" max="10295" width="5.140625" style="75" customWidth="1"/>
    <col min="10296" max="10296" width="10.7109375" style="75" customWidth="1"/>
    <col min="10297" max="10297" width="17.42578125" style="75" customWidth="1"/>
    <col min="10298" max="10298" width="9.140625" style="75" customWidth="1"/>
    <col min="10299" max="10299" width="4.7109375" style="75" customWidth="1"/>
    <col min="10300" max="10300" width="19.5703125" style="75" customWidth="1"/>
    <col min="10301" max="10301" width="8.85546875" style="75" customWidth="1"/>
    <col min="10302" max="10304" width="9.85546875" style="75" customWidth="1"/>
    <col min="10305" max="10305" width="10" style="75" customWidth="1"/>
    <col min="10306" max="10306" width="5.140625" style="75" customWidth="1"/>
    <col min="10307" max="10307" width="10.7109375" style="75" customWidth="1"/>
    <col min="10308" max="10308" width="20.5703125" style="75" customWidth="1"/>
    <col min="10309" max="10309" width="9.140625" style="75" customWidth="1"/>
    <col min="10310" max="10310" width="4.7109375" style="75" customWidth="1"/>
    <col min="10311" max="10311" width="19.5703125" style="75" customWidth="1"/>
    <col min="10312" max="10312" width="8.85546875" style="75" customWidth="1"/>
    <col min="10313" max="10315" width="10.28515625" style="75" customWidth="1"/>
    <col min="10316" max="10316" width="10" style="75" customWidth="1"/>
    <col min="10317" max="10317" width="5.140625" style="75" customWidth="1"/>
    <col min="10318" max="10318" width="10.7109375" style="75" customWidth="1"/>
    <col min="10319" max="10319" width="22" style="75" customWidth="1"/>
    <col min="10320" max="10325" width="9.140625" style="75" customWidth="1"/>
    <col min="10326" max="10523" width="9.140625" style="75"/>
    <col min="10524" max="10524" width="4.7109375" style="75" customWidth="1"/>
    <col min="10525" max="10525" width="24.28515625" style="75" bestFit="1" customWidth="1"/>
    <col min="10526" max="10526" width="9" style="75" customWidth="1"/>
    <col min="10527" max="10527" width="11" style="75" bestFit="1" customWidth="1"/>
    <col min="10528" max="10528" width="10" style="75" customWidth="1"/>
    <col min="10529" max="10529" width="5.140625" style="75" customWidth="1"/>
    <col min="10530" max="10530" width="10.7109375" style="75" customWidth="1"/>
    <col min="10531" max="10531" width="16.7109375" style="75" customWidth="1"/>
    <col min="10532" max="10532" width="9.140625" style="75" customWidth="1"/>
    <col min="10533" max="10533" width="4.7109375" style="75" customWidth="1"/>
    <col min="10534" max="10534" width="19.85546875" style="75" customWidth="1"/>
    <col min="10535" max="10535" width="8.85546875" style="75" customWidth="1"/>
    <col min="10536" max="10536" width="11.85546875" style="75" bestFit="1" customWidth="1"/>
    <col min="10537" max="10538" width="9.85546875" style="75" customWidth="1"/>
    <col min="10539" max="10539" width="10" style="75" customWidth="1"/>
    <col min="10540" max="10540" width="5.140625" style="75" customWidth="1"/>
    <col min="10541" max="10541" width="10.7109375" style="75" customWidth="1"/>
    <col min="10542" max="10542" width="16.42578125" style="75" bestFit="1" customWidth="1"/>
    <col min="10543" max="10543" width="9.140625" style="75" customWidth="1"/>
    <col min="10544" max="10544" width="4.7109375" style="75" customWidth="1"/>
    <col min="10545" max="10545" width="22.140625" style="75" bestFit="1" customWidth="1"/>
    <col min="10546" max="10546" width="8.85546875" style="75" customWidth="1"/>
    <col min="10547" max="10547" width="11.85546875" style="75" bestFit="1" customWidth="1"/>
    <col min="10548" max="10549" width="9.85546875" style="75" customWidth="1"/>
    <col min="10550" max="10550" width="10" style="75" customWidth="1"/>
    <col min="10551" max="10551" width="5.140625" style="75" customWidth="1"/>
    <col min="10552" max="10552" width="10.7109375" style="75" customWidth="1"/>
    <col min="10553" max="10553" width="17.42578125" style="75" customWidth="1"/>
    <col min="10554" max="10554" width="9.140625" style="75" customWidth="1"/>
    <col min="10555" max="10555" width="4.7109375" style="75" customWidth="1"/>
    <col min="10556" max="10556" width="19.5703125" style="75" customWidth="1"/>
    <col min="10557" max="10557" width="8.85546875" style="75" customWidth="1"/>
    <col min="10558" max="10560" width="9.85546875" style="75" customWidth="1"/>
    <col min="10561" max="10561" width="10" style="75" customWidth="1"/>
    <col min="10562" max="10562" width="5.140625" style="75" customWidth="1"/>
    <col min="10563" max="10563" width="10.7109375" style="75" customWidth="1"/>
    <col min="10564" max="10564" width="20.5703125" style="75" customWidth="1"/>
    <col min="10565" max="10565" width="9.140625" style="75" customWidth="1"/>
    <col min="10566" max="10566" width="4.7109375" style="75" customWidth="1"/>
    <col min="10567" max="10567" width="19.5703125" style="75" customWidth="1"/>
    <col min="10568" max="10568" width="8.85546875" style="75" customWidth="1"/>
    <col min="10569" max="10571" width="10.28515625" style="75" customWidth="1"/>
    <col min="10572" max="10572" width="10" style="75" customWidth="1"/>
    <col min="10573" max="10573" width="5.140625" style="75" customWidth="1"/>
    <col min="10574" max="10574" width="10.7109375" style="75" customWidth="1"/>
    <col min="10575" max="10575" width="22" style="75" customWidth="1"/>
    <col min="10576" max="10581" width="9.140625" style="75" customWidth="1"/>
    <col min="10582" max="10779" width="9.140625" style="75"/>
    <col min="10780" max="10780" width="4.7109375" style="75" customWidth="1"/>
    <col min="10781" max="10781" width="24.28515625" style="75" bestFit="1" customWidth="1"/>
    <col min="10782" max="10782" width="9" style="75" customWidth="1"/>
    <col min="10783" max="10783" width="11" style="75" bestFit="1" customWidth="1"/>
    <col min="10784" max="10784" width="10" style="75" customWidth="1"/>
    <col min="10785" max="10785" width="5.140625" style="75" customWidth="1"/>
    <col min="10786" max="10786" width="10.7109375" style="75" customWidth="1"/>
    <col min="10787" max="10787" width="16.7109375" style="75" customWidth="1"/>
    <col min="10788" max="10788" width="9.140625" style="75" customWidth="1"/>
    <col min="10789" max="10789" width="4.7109375" style="75" customWidth="1"/>
    <col min="10790" max="10790" width="19.85546875" style="75" customWidth="1"/>
    <col min="10791" max="10791" width="8.85546875" style="75" customWidth="1"/>
    <col min="10792" max="10792" width="11.85546875" style="75" bestFit="1" customWidth="1"/>
    <col min="10793" max="10794" width="9.85546875" style="75" customWidth="1"/>
    <col min="10795" max="10795" width="10" style="75" customWidth="1"/>
    <col min="10796" max="10796" width="5.140625" style="75" customWidth="1"/>
    <col min="10797" max="10797" width="10.7109375" style="75" customWidth="1"/>
    <col min="10798" max="10798" width="16.42578125" style="75" bestFit="1" customWidth="1"/>
    <col min="10799" max="10799" width="9.140625" style="75" customWidth="1"/>
    <col min="10800" max="10800" width="4.7109375" style="75" customWidth="1"/>
    <col min="10801" max="10801" width="22.140625" style="75" bestFit="1" customWidth="1"/>
    <col min="10802" max="10802" width="8.85546875" style="75" customWidth="1"/>
    <col min="10803" max="10803" width="11.85546875" style="75" bestFit="1" customWidth="1"/>
    <col min="10804" max="10805" width="9.85546875" style="75" customWidth="1"/>
    <col min="10806" max="10806" width="10" style="75" customWidth="1"/>
    <col min="10807" max="10807" width="5.140625" style="75" customWidth="1"/>
    <col min="10808" max="10808" width="10.7109375" style="75" customWidth="1"/>
    <col min="10809" max="10809" width="17.42578125" style="75" customWidth="1"/>
    <col min="10810" max="10810" width="9.140625" style="75" customWidth="1"/>
    <col min="10811" max="10811" width="4.7109375" style="75" customWidth="1"/>
    <col min="10812" max="10812" width="19.5703125" style="75" customWidth="1"/>
    <col min="10813" max="10813" width="8.85546875" style="75" customWidth="1"/>
    <col min="10814" max="10816" width="9.85546875" style="75" customWidth="1"/>
    <col min="10817" max="10817" width="10" style="75" customWidth="1"/>
    <col min="10818" max="10818" width="5.140625" style="75" customWidth="1"/>
    <col min="10819" max="10819" width="10.7109375" style="75" customWidth="1"/>
    <col min="10820" max="10820" width="20.5703125" style="75" customWidth="1"/>
    <col min="10821" max="10821" width="9.140625" style="75" customWidth="1"/>
    <col min="10822" max="10822" width="4.7109375" style="75" customWidth="1"/>
    <col min="10823" max="10823" width="19.5703125" style="75" customWidth="1"/>
    <col min="10824" max="10824" width="8.85546875" style="75" customWidth="1"/>
    <col min="10825" max="10827" width="10.28515625" style="75" customWidth="1"/>
    <col min="10828" max="10828" width="10" style="75" customWidth="1"/>
    <col min="10829" max="10829" width="5.140625" style="75" customWidth="1"/>
    <col min="10830" max="10830" width="10.7109375" style="75" customWidth="1"/>
    <col min="10831" max="10831" width="22" style="75" customWidth="1"/>
    <col min="10832" max="10837" width="9.140625" style="75" customWidth="1"/>
    <col min="10838" max="11035" width="9.140625" style="75"/>
    <col min="11036" max="11036" width="4.7109375" style="75" customWidth="1"/>
    <col min="11037" max="11037" width="24.28515625" style="75" bestFit="1" customWidth="1"/>
    <col min="11038" max="11038" width="9" style="75" customWidth="1"/>
    <col min="11039" max="11039" width="11" style="75" bestFit="1" customWidth="1"/>
    <col min="11040" max="11040" width="10" style="75" customWidth="1"/>
    <col min="11041" max="11041" width="5.140625" style="75" customWidth="1"/>
    <col min="11042" max="11042" width="10.7109375" style="75" customWidth="1"/>
    <col min="11043" max="11043" width="16.7109375" style="75" customWidth="1"/>
    <col min="11044" max="11044" width="9.140625" style="75" customWidth="1"/>
    <col min="11045" max="11045" width="4.7109375" style="75" customWidth="1"/>
    <col min="11046" max="11046" width="19.85546875" style="75" customWidth="1"/>
    <col min="11047" max="11047" width="8.85546875" style="75" customWidth="1"/>
    <col min="11048" max="11048" width="11.85546875" style="75" bestFit="1" customWidth="1"/>
    <col min="11049" max="11050" width="9.85546875" style="75" customWidth="1"/>
    <col min="11051" max="11051" width="10" style="75" customWidth="1"/>
    <col min="11052" max="11052" width="5.140625" style="75" customWidth="1"/>
    <col min="11053" max="11053" width="10.7109375" style="75" customWidth="1"/>
    <col min="11054" max="11054" width="16.42578125" style="75" bestFit="1" customWidth="1"/>
    <col min="11055" max="11055" width="9.140625" style="75" customWidth="1"/>
    <col min="11056" max="11056" width="4.7109375" style="75" customWidth="1"/>
    <col min="11057" max="11057" width="22.140625" style="75" bestFit="1" customWidth="1"/>
    <col min="11058" max="11058" width="8.85546875" style="75" customWidth="1"/>
    <col min="11059" max="11059" width="11.85546875" style="75" bestFit="1" customWidth="1"/>
    <col min="11060" max="11061" width="9.85546875" style="75" customWidth="1"/>
    <col min="11062" max="11062" width="10" style="75" customWidth="1"/>
    <col min="11063" max="11063" width="5.140625" style="75" customWidth="1"/>
    <col min="11064" max="11064" width="10.7109375" style="75" customWidth="1"/>
    <col min="11065" max="11065" width="17.42578125" style="75" customWidth="1"/>
    <col min="11066" max="11066" width="9.140625" style="75" customWidth="1"/>
    <col min="11067" max="11067" width="4.7109375" style="75" customWidth="1"/>
    <col min="11068" max="11068" width="19.5703125" style="75" customWidth="1"/>
    <col min="11069" max="11069" width="8.85546875" style="75" customWidth="1"/>
    <col min="11070" max="11072" width="9.85546875" style="75" customWidth="1"/>
    <col min="11073" max="11073" width="10" style="75" customWidth="1"/>
    <col min="11074" max="11074" width="5.140625" style="75" customWidth="1"/>
    <col min="11075" max="11075" width="10.7109375" style="75" customWidth="1"/>
    <col min="11076" max="11076" width="20.5703125" style="75" customWidth="1"/>
    <col min="11077" max="11077" width="9.140625" style="75" customWidth="1"/>
    <col min="11078" max="11078" width="4.7109375" style="75" customWidth="1"/>
    <col min="11079" max="11079" width="19.5703125" style="75" customWidth="1"/>
    <col min="11080" max="11080" width="8.85546875" style="75" customWidth="1"/>
    <col min="11081" max="11083" width="10.28515625" style="75" customWidth="1"/>
    <col min="11084" max="11084" width="10" style="75" customWidth="1"/>
    <col min="11085" max="11085" width="5.140625" style="75" customWidth="1"/>
    <col min="11086" max="11086" width="10.7109375" style="75" customWidth="1"/>
    <col min="11087" max="11087" width="22" style="75" customWidth="1"/>
    <col min="11088" max="11093" width="9.140625" style="75" customWidth="1"/>
    <col min="11094" max="11291" width="9.140625" style="75"/>
    <col min="11292" max="11292" width="4.7109375" style="75" customWidth="1"/>
    <col min="11293" max="11293" width="24.28515625" style="75" bestFit="1" customWidth="1"/>
    <col min="11294" max="11294" width="9" style="75" customWidth="1"/>
    <col min="11295" max="11295" width="11" style="75" bestFit="1" customWidth="1"/>
    <col min="11296" max="11296" width="10" style="75" customWidth="1"/>
    <col min="11297" max="11297" width="5.140625" style="75" customWidth="1"/>
    <col min="11298" max="11298" width="10.7109375" style="75" customWidth="1"/>
    <col min="11299" max="11299" width="16.7109375" style="75" customWidth="1"/>
    <col min="11300" max="11300" width="9.140625" style="75" customWidth="1"/>
    <col min="11301" max="11301" width="4.7109375" style="75" customWidth="1"/>
    <col min="11302" max="11302" width="19.85546875" style="75" customWidth="1"/>
    <col min="11303" max="11303" width="8.85546875" style="75" customWidth="1"/>
    <col min="11304" max="11304" width="11.85546875" style="75" bestFit="1" customWidth="1"/>
    <col min="11305" max="11306" width="9.85546875" style="75" customWidth="1"/>
    <col min="11307" max="11307" width="10" style="75" customWidth="1"/>
    <col min="11308" max="11308" width="5.140625" style="75" customWidth="1"/>
    <col min="11309" max="11309" width="10.7109375" style="75" customWidth="1"/>
    <col min="11310" max="11310" width="16.42578125" style="75" bestFit="1" customWidth="1"/>
    <col min="11311" max="11311" width="9.140625" style="75" customWidth="1"/>
    <col min="11312" max="11312" width="4.7109375" style="75" customWidth="1"/>
    <col min="11313" max="11313" width="22.140625" style="75" bestFit="1" customWidth="1"/>
    <col min="11314" max="11314" width="8.85546875" style="75" customWidth="1"/>
    <col min="11315" max="11315" width="11.85546875" style="75" bestFit="1" customWidth="1"/>
    <col min="11316" max="11317" width="9.85546875" style="75" customWidth="1"/>
    <col min="11318" max="11318" width="10" style="75" customWidth="1"/>
    <col min="11319" max="11319" width="5.140625" style="75" customWidth="1"/>
    <col min="11320" max="11320" width="10.7109375" style="75" customWidth="1"/>
    <col min="11321" max="11321" width="17.42578125" style="75" customWidth="1"/>
    <col min="11322" max="11322" width="9.140625" style="75" customWidth="1"/>
    <col min="11323" max="11323" width="4.7109375" style="75" customWidth="1"/>
    <col min="11324" max="11324" width="19.5703125" style="75" customWidth="1"/>
    <col min="11325" max="11325" width="8.85546875" style="75" customWidth="1"/>
    <col min="11326" max="11328" width="9.85546875" style="75" customWidth="1"/>
    <col min="11329" max="11329" width="10" style="75" customWidth="1"/>
    <col min="11330" max="11330" width="5.140625" style="75" customWidth="1"/>
    <col min="11331" max="11331" width="10.7109375" style="75" customWidth="1"/>
    <col min="11332" max="11332" width="20.5703125" style="75" customWidth="1"/>
    <col min="11333" max="11333" width="9.140625" style="75" customWidth="1"/>
    <col min="11334" max="11334" width="4.7109375" style="75" customWidth="1"/>
    <col min="11335" max="11335" width="19.5703125" style="75" customWidth="1"/>
    <col min="11336" max="11336" width="8.85546875" style="75" customWidth="1"/>
    <col min="11337" max="11339" width="10.28515625" style="75" customWidth="1"/>
    <col min="11340" max="11340" width="10" style="75" customWidth="1"/>
    <col min="11341" max="11341" width="5.140625" style="75" customWidth="1"/>
    <col min="11342" max="11342" width="10.7109375" style="75" customWidth="1"/>
    <col min="11343" max="11343" width="22" style="75" customWidth="1"/>
    <col min="11344" max="11349" width="9.140625" style="75" customWidth="1"/>
    <col min="11350" max="11547" width="9.140625" style="75"/>
    <col min="11548" max="11548" width="4.7109375" style="75" customWidth="1"/>
    <col min="11549" max="11549" width="24.28515625" style="75" bestFit="1" customWidth="1"/>
    <col min="11550" max="11550" width="9" style="75" customWidth="1"/>
    <col min="11551" max="11551" width="11" style="75" bestFit="1" customWidth="1"/>
    <col min="11552" max="11552" width="10" style="75" customWidth="1"/>
    <col min="11553" max="11553" width="5.140625" style="75" customWidth="1"/>
    <col min="11554" max="11554" width="10.7109375" style="75" customWidth="1"/>
    <col min="11555" max="11555" width="16.7109375" style="75" customWidth="1"/>
    <col min="11556" max="11556" width="9.140625" style="75" customWidth="1"/>
    <col min="11557" max="11557" width="4.7109375" style="75" customWidth="1"/>
    <col min="11558" max="11558" width="19.85546875" style="75" customWidth="1"/>
    <col min="11559" max="11559" width="8.85546875" style="75" customWidth="1"/>
    <col min="11560" max="11560" width="11.85546875" style="75" bestFit="1" customWidth="1"/>
    <col min="11561" max="11562" width="9.85546875" style="75" customWidth="1"/>
    <col min="11563" max="11563" width="10" style="75" customWidth="1"/>
    <col min="11564" max="11564" width="5.140625" style="75" customWidth="1"/>
    <col min="11565" max="11565" width="10.7109375" style="75" customWidth="1"/>
    <col min="11566" max="11566" width="16.42578125" style="75" bestFit="1" customWidth="1"/>
    <col min="11567" max="11567" width="9.140625" style="75" customWidth="1"/>
    <col min="11568" max="11568" width="4.7109375" style="75" customWidth="1"/>
    <col min="11569" max="11569" width="22.140625" style="75" bestFit="1" customWidth="1"/>
    <col min="11570" max="11570" width="8.85546875" style="75" customWidth="1"/>
    <col min="11571" max="11571" width="11.85546875" style="75" bestFit="1" customWidth="1"/>
    <col min="11572" max="11573" width="9.85546875" style="75" customWidth="1"/>
    <col min="11574" max="11574" width="10" style="75" customWidth="1"/>
    <col min="11575" max="11575" width="5.140625" style="75" customWidth="1"/>
    <col min="11576" max="11576" width="10.7109375" style="75" customWidth="1"/>
    <col min="11577" max="11577" width="17.42578125" style="75" customWidth="1"/>
    <col min="11578" max="11578" width="9.140625" style="75" customWidth="1"/>
    <col min="11579" max="11579" width="4.7109375" style="75" customWidth="1"/>
    <col min="11580" max="11580" width="19.5703125" style="75" customWidth="1"/>
    <col min="11581" max="11581" width="8.85546875" style="75" customWidth="1"/>
    <col min="11582" max="11584" width="9.85546875" style="75" customWidth="1"/>
    <col min="11585" max="11585" width="10" style="75" customWidth="1"/>
    <col min="11586" max="11586" width="5.140625" style="75" customWidth="1"/>
    <col min="11587" max="11587" width="10.7109375" style="75" customWidth="1"/>
    <col min="11588" max="11588" width="20.5703125" style="75" customWidth="1"/>
    <col min="11589" max="11589" width="9.140625" style="75" customWidth="1"/>
    <col min="11590" max="11590" width="4.7109375" style="75" customWidth="1"/>
    <col min="11591" max="11591" width="19.5703125" style="75" customWidth="1"/>
    <col min="11592" max="11592" width="8.85546875" style="75" customWidth="1"/>
    <col min="11593" max="11595" width="10.28515625" style="75" customWidth="1"/>
    <col min="11596" max="11596" width="10" style="75" customWidth="1"/>
    <col min="11597" max="11597" width="5.140625" style="75" customWidth="1"/>
    <col min="11598" max="11598" width="10.7109375" style="75" customWidth="1"/>
    <col min="11599" max="11599" width="22" style="75" customWidth="1"/>
    <col min="11600" max="11605" width="9.140625" style="75" customWidth="1"/>
    <col min="11606" max="11803" width="9.140625" style="75"/>
    <col min="11804" max="11804" width="4.7109375" style="75" customWidth="1"/>
    <col min="11805" max="11805" width="24.28515625" style="75" bestFit="1" customWidth="1"/>
    <col min="11806" max="11806" width="9" style="75" customWidth="1"/>
    <col min="11807" max="11807" width="11" style="75" bestFit="1" customWidth="1"/>
    <col min="11808" max="11808" width="10" style="75" customWidth="1"/>
    <col min="11809" max="11809" width="5.140625" style="75" customWidth="1"/>
    <col min="11810" max="11810" width="10.7109375" style="75" customWidth="1"/>
    <col min="11811" max="11811" width="16.7109375" style="75" customWidth="1"/>
    <col min="11812" max="11812" width="9.140625" style="75" customWidth="1"/>
    <col min="11813" max="11813" width="4.7109375" style="75" customWidth="1"/>
    <col min="11814" max="11814" width="19.85546875" style="75" customWidth="1"/>
    <col min="11815" max="11815" width="8.85546875" style="75" customWidth="1"/>
    <col min="11816" max="11816" width="11.85546875" style="75" bestFit="1" customWidth="1"/>
    <col min="11817" max="11818" width="9.85546875" style="75" customWidth="1"/>
    <col min="11819" max="11819" width="10" style="75" customWidth="1"/>
    <col min="11820" max="11820" width="5.140625" style="75" customWidth="1"/>
    <col min="11821" max="11821" width="10.7109375" style="75" customWidth="1"/>
    <col min="11822" max="11822" width="16.42578125" style="75" bestFit="1" customWidth="1"/>
    <col min="11823" max="11823" width="9.140625" style="75" customWidth="1"/>
    <col min="11824" max="11824" width="4.7109375" style="75" customWidth="1"/>
    <col min="11825" max="11825" width="22.140625" style="75" bestFit="1" customWidth="1"/>
    <col min="11826" max="11826" width="8.85546875" style="75" customWidth="1"/>
    <col min="11827" max="11827" width="11.85546875" style="75" bestFit="1" customWidth="1"/>
    <col min="11828" max="11829" width="9.85546875" style="75" customWidth="1"/>
    <col min="11830" max="11830" width="10" style="75" customWidth="1"/>
    <col min="11831" max="11831" width="5.140625" style="75" customWidth="1"/>
    <col min="11832" max="11832" width="10.7109375" style="75" customWidth="1"/>
    <col min="11833" max="11833" width="17.42578125" style="75" customWidth="1"/>
    <col min="11834" max="11834" width="9.140625" style="75" customWidth="1"/>
    <col min="11835" max="11835" width="4.7109375" style="75" customWidth="1"/>
    <col min="11836" max="11836" width="19.5703125" style="75" customWidth="1"/>
    <col min="11837" max="11837" width="8.85546875" style="75" customWidth="1"/>
    <col min="11838" max="11840" width="9.85546875" style="75" customWidth="1"/>
    <col min="11841" max="11841" width="10" style="75" customWidth="1"/>
    <col min="11842" max="11842" width="5.140625" style="75" customWidth="1"/>
    <col min="11843" max="11843" width="10.7109375" style="75" customWidth="1"/>
    <col min="11844" max="11844" width="20.5703125" style="75" customWidth="1"/>
    <col min="11845" max="11845" width="9.140625" style="75" customWidth="1"/>
    <col min="11846" max="11846" width="4.7109375" style="75" customWidth="1"/>
    <col min="11847" max="11847" width="19.5703125" style="75" customWidth="1"/>
    <col min="11848" max="11848" width="8.85546875" style="75" customWidth="1"/>
    <col min="11849" max="11851" width="10.28515625" style="75" customWidth="1"/>
    <col min="11852" max="11852" width="10" style="75" customWidth="1"/>
    <col min="11853" max="11853" width="5.140625" style="75" customWidth="1"/>
    <col min="11854" max="11854" width="10.7109375" style="75" customWidth="1"/>
    <col min="11855" max="11855" width="22" style="75" customWidth="1"/>
    <col min="11856" max="11861" width="9.140625" style="75" customWidth="1"/>
    <col min="11862" max="12059" width="9.140625" style="75"/>
    <col min="12060" max="12060" width="4.7109375" style="75" customWidth="1"/>
    <col min="12061" max="12061" width="24.28515625" style="75" bestFit="1" customWidth="1"/>
    <col min="12062" max="12062" width="9" style="75" customWidth="1"/>
    <col min="12063" max="12063" width="11" style="75" bestFit="1" customWidth="1"/>
    <col min="12064" max="12064" width="10" style="75" customWidth="1"/>
    <col min="12065" max="12065" width="5.140625" style="75" customWidth="1"/>
    <col min="12066" max="12066" width="10.7109375" style="75" customWidth="1"/>
    <col min="12067" max="12067" width="16.7109375" style="75" customWidth="1"/>
    <col min="12068" max="12068" width="9.140625" style="75" customWidth="1"/>
    <col min="12069" max="12069" width="4.7109375" style="75" customWidth="1"/>
    <col min="12070" max="12070" width="19.85546875" style="75" customWidth="1"/>
    <col min="12071" max="12071" width="8.85546875" style="75" customWidth="1"/>
    <col min="12072" max="12072" width="11.85546875" style="75" bestFit="1" customWidth="1"/>
    <col min="12073" max="12074" width="9.85546875" style="75" customWidth="1"/>
    <col min="12075" max="12075" width="10" style="75" customWidth="1"/>
    <col min="12076" max="12076" width="5.140625" style="75" customWidth="1"/>
    <col min="12077" max="12077" width="10.7109375" style="75" customWidth="1"/>
    <col min="12078" max="12078" width="16.42578125" style="75" bestFit="1" customWidth="1"/>
    <col min="12079" max="12079" width="9.140625" style="75" customWidth="1"/>
    <col min="12080" max="12080" width="4.7109375" style="75" customWidth="1"/>
    <col min="12081" max="12081" width="22.140625" style="75" bestFit="1" customWidth="1"/>
    <col min="12082" max="12082" width="8.85546875" style="75" customWidth="1"/>
    <col min="12083" max="12083" width="11.85546875" style="75" bestFit="1" customWidth="1"/>
    <col min="12084" max="12085" width="9.85546875" style="75" customWidth="1"/>
    <col min="12086" max="12086" width="10" style="75" customWidth="1"/>
    <col min="12087" max="12087" width="5.140625" style="75" customWidth="1"/>
    <col min="12088" max="12088" width="10.7109375" style="75" customWidth="1"/>
    <col min="12089" max="12089" width="17.42578125" style="75" customWidth="1"/>
    <col min="12090" max="12090" width="9.140625" style="75" customWidth="1"/>
    <col min="12091" max="12091" width="4.7109375" style="75" customWidth="1"/>
    <col min="12092" max="12092" width="19.5703125" style="75" customWidth="1"/>
    <col min="12093" max="12093" width="8.85546875" style="75" customWidth="1"/>
    <col min="12094" max="12096" width="9.85546875" style="75" customWidth="1"/>
    <col min="12097" max="12097" width="10" style="75" customWidth="1"/>
    <col min="12098" max="12098" width="5.140625" style="75" customWidth="1"/>
    <col min="12099" max="12099" width="10.7109375" style="75" customWidth="1"/>
    <col min="12100" max="12100" width="20.5703125" style="75" customWidth="1"/>
    <col min="12101" max="12101" width="9.140625" style="75" customWidth="1"/>
    <col min="12102" max="12102" width="4.7109375" style="75" customWidth="1"/>
    <col min="12103" max="12103" width="19.5703125" style="75" customWidth="1"/>
    <col min="12104" max="12104" width="8.85546875" style="75" customWidth="1"/>
    <col min="12105" max="12107" width="10.28515625" style="75" customWidth="1"/>
    <col min="12108" max="12108" width="10" style="75" customWidth="1"/>
    <col min="12109" max="12109" width="5.140625" style="75" customWidth="1"/>
    <col min="12110" max="12110" width="10.7109375" style="75" customWidth="1"/>
    <col min="12111" max="12111" width="22" style="75" customWidth="1"/>
    <col min="12112" max="12117" width="9.140625" style="75" customWidth="1"/>
    <col min="12118" max="12315" width="9.140625" style="75"/>
    <col min="12316" max="12316" width="4.7109375" style="75" customWidth="1"/>
    <col min="12317" max="12317" width="24.28515625" style="75" bestFit="1" customWidth="1"/>
    <col min="12318" max="12318" width="9" style="75" customWidth="1"/>
    <col min="12319" max="12319" width="11" style="75" bestFit="1" customWidth="1"/>
    <col min="12320" max="12320" width="10" style="75" customWidth="1"/>
    <col min="12321" max="12321" width="5.140625" style="75" customWidth="1"/>
    <col min="12322" max="12322" width="10.7109375" style="75" customWidth="1"/>
    <col min="12323" max="12323" width="16.7109375" style="75" customWidth="1"/>
    <col min="12324" max="12324" width="9.140625" style="75" customWidth="1"/>
    <col min="12325" max="12325" width="4.7109375" style="75" customWidth="1"/>
    <col min="12326" max="12326" width="19.85546875" style="75" customWidth="1"/>
    <col min="12327" max="12327" width="8.85546875" style="75" customWidth="1"/>
    <col min="12328" max="12328" width="11.85546875" style="75" bestFit="1" customWidth="1"/>
    <col min="12329" max="12330" width="9.85546875" style="75" customWidth="1"/>
    <col min="12331" max="12331" width="10" style="75" customWidth="1"/>
    <col min="12332" max="12332" width="5.140625" style="75" customWidth="1"/>
    <col min="12333" max="12333" width="10.7109375" style="75" customWidth="1"/>
    <col min="12334" max="12334" width="16.42578125" style="75" bestFit="1" customWidth="1"/>
    <col min="12335" max="12335" width="9.140625" style="75" customWidth="1"/>
    <col min="12336" max="12336" width="4.7109375" style="75" customWidth="1"/>
    <col min="12337" max="12337" width="22.140625" style="75" bestFit="1" customWidth="1"/>
    <col min="12338" max="12338" width="8.85546875" style="75" customWidth="1"/>
    <col min="12339" max="12339" width="11.85546875" style="75" bestFit="1" customWidth="1"/>
    <col min="12340" max="12341" width="9.85546875" style="75" customWidth="1"/>
    <col min="12342" max="12342" width="10" style="75" customWidth="1"/>
    <col min="12343" max="12343" width="5.140625" style="75" customWidth="1"/>
    <col min="12344" max="12344" width="10.7109375" style="75" customWidth="1"/>
    <col min="12345" max="12345" width="17.42578125" style="75" customWidth="1"/>
    <col min="12346" max="12346" width="9.140625" style="75" customWidth="1"/>
    <col min="12347" max="12347" width="4.7109375" style="75" customWidth="1"/>
    <col min="12348" max="12348" width="19.5703125" style="75" customWidth="1"/>
    <col min="12349" max="12349" width="8.85546875" style="75" customWidth="1"/>
    <col min="12350" max="12352" width="9.85546875" style="75" customWidth="1"/>
    <col min="12353" max="12353" width="10" style="75" customWidth="1"/>
    <col min="12354" max="12354" width="5.140625" style="75" customWidth="1"/>
    <col min="12355" max="12355" width="10.7109375" style="75" customWidth="1"/>
    <col min="12356" max="12356" width="20.5703125" style="75" customWidth="1"/>
    <col min="12357" max="12357" width="9.140625" style="75" customWidth="1"/>
    <col min="12358" max="12358" width="4.7109375" style="75" customWidth="1"/>
    <col min="12359" max="12359" width="19.5703125" style="75" customWidth="1"/>
    <col min="12360" max="12360" width="8.85546875" style="75" customWidth="1"/>
    <col min="12361" max="12363" width="10.28515625" style="75" customWidth="1"/>
    <col min="12364" max="12364" width="10" style="75" customWidth="1"/>
    <col min="12365" max="12365" width="5.140625" style="75" customWidth="1"/>
    <col min="12366" max="12366" width="10.7109375" style="75" customWidth="1"/>
    <col min="12367" max="12367" width="22" style="75" customWidth="1"/>
    <col min="12368" max="12373" width="9.140625" style="75" customWidth="1"/>
    <col min="12374" max="12571" width="9.140625" style="75"/>
    <col min="12572" max="12572" width="4.7109375" style="75" customWidth="1"/>
    <col min="12573" max="12573" width="24.28515625" style="75" bestFit="1" customWidth="1"/>
    <col min="12574" max="12574" width="9" style="75" customWidth="1"/>
    <col min="12575" max="12575" width="11" style="75" bestFit="1" customWidth="1"/>
    <col min="12576" max="12576" width="10" style="75" customWidth="1"/>
    <col min="12577" max="12577" width="5.140625" style="75" customWidth="1"/>
    <col min="12578" max="12578" width="10.7109375" style="75" customWidth="1"/>
    <col min="12579" max="12579" width="16.7109375" style="75" customWidth="1"/>
    <col min="12580" max="12580" width="9.140625" style="75" customWidth="1"/>
    <col min="12581" max="12581" width="4.7109375" style="75" customWidth="1"/>
    <col min="12582" max="12582" width="19.85546875" style="75" customWidth="1"/>
    <col min="12583" max="12583" width="8.85546875" style="75" customWidth="1"/>
    <col min="12584" max="12584" width="11.85546875" style="75" bestFit="1" customWidth="1"/>
    <col min="12585" max="12586" width="9.85546875" style="75" customWidth="1"/>
    <col min="12587" max="12587" width="10" style="75" customWidth="1"/>
    <col min="12588" max="12588" width="5.140625" style="75" customWidth="1"/>
    <col min="12589" max="12589" width="10.7109375" style="75" customWidth="1"/>
    <col min="12590" max="12590" width="16.42578125" style="75" bestFit="1" customWidth="1"/>
    <col min="12591" max="12591" width="9.140625" style="75" customWidth="1"/>
    <col min="12592" max="12592" width="4.7109375" style="75" customWidth="1"/>
    <col min="12593" max="12593" width="22.140625" style="75" bestFit="1" customWidth="1"/>
    <col min="12594" max="12594" width="8.85546875" style="75" customWidth="1"/>
    <col min="12595" max="12595" width="11.85546875" style="75" bestFit="1" customWidth="1"/>
    <col min="12596" max="12597" width="9.85546875" style="75" customWidth="1"/>
    <col min="12598" max="12598" width="10" style="75" customWidth="1"/>
    <col min="12599" max="12599" width="5.140625" style="75" customWidth="1"/>
    <col min="12600" max="12600" width="10.7109375" style="75" customWidth="1"/>
    <col min="12601" max="12601" width="17.42578125" style="75" customWidth="1"/>
    <col min="12602" max="12602" width="9.140625" style="75" customWidth="1"/>
    <col min="12603" max="12603" width="4.7109375" style="75" customWidth="1"/>
    <col min="12604" max="12604" width="19.5703125" style="75" customWidth="1"/>
    <col min="12605" max="12605" width="8.85546875" style="75" customWidth="1"/>
    <col min="12606" max="12608" width="9.85546875" style="75" customWidth="1"/>
    <col min="12609" max="12609" width="10" style="75" customWidth="1"/>
    <col min="12610" max="12610" width="5.140625" style="75" customWidth="1"/>
    <col min="12611" max="12611" width="10.7109375" style="75" customWidth="1"/>
    <col min="12612" max="12612" width="20.5703125" style="75" customWidth="1"/>
    <col min="12613" max="12613" width="9.140625" style="75" customWidth="1"/>
    <col min="12614" max="12614" width="4.7109375" style="75" customWidth="1"/>
    <col min="12615" max="12615" width="19.5703125" style="75" customWidth="1"/>
    <col min="12616" max="12616" width="8.85546875" style="75" customWidth="1"/>
    <col min="12617" max="12619" width="10.28515625" style="75" customWidth="1"/>
    <col min="12620" max="12620" width="10" style="75" customWidth="1"/>
    <col min="12621" max="12621" width="5.140625" style="75" customWidth="1"/>
    <col min="12622" max="12622" width="10.7109375" style="75" customWidth="1"/>
    <col min="12623" max="12623" width="22" style="75" customWidth="1"/>
    <col min="12624" max="12629" width="9.140625" style="75" customWidth="1"/>
    <col min="12630" max="12827" width="9.140625" style="75"/>
    <col min="12828" max="12828" width="4.7109375" style="75" customWidth="1"/>
    <col min="12829" max="12829" width="24.28515625" style="75" bestFit="1" customWidth="1"/>
    <col min="12830" max="12830" width="9" style="75" customWidth="1"/>
    <col min="12831" max="12831" width="11" style="75" bestFit="1" customWidth="1"/>
    <col min="12832" max="12832" width="10" style="75" customWidth="1"/>
    <col min="12833" max="12833" width="5.140625" style="75" customWidth="1"/>
    <col min="12834" max="12834" width="10.7109375" style="75" customWidth="1"/>
    <col min="12835" max="12835" width="16.7109375" style="75" customWidth="1"/>
    <col min="12836" max="12836" width="9.140625" style="75" customWidth="1"/>
    <col min="12837" max="12837" width="4.7109375" style="75" customWidth="1"/>
    <col min="12838" max="12838" width="19.85546875" style="75" customWidth="1"/>
    <col min="12839" max="12839" width="8.85546875" style="75" customWidth="1"/>
    <col min="12840" max="12840" width="11.85546875" style="75" bestFit="1" customWidth="1"/>
    <col min="12841" max="12842" width="9.85546875" style="75" customWidth="1"/>
    <col min="12843" max="12843" width="10" style="75" customWidth="1"/>
    <col min="12844" max="12844" width="5.140625" style="75" customWidth="1"/>
    <col min="12845" max="12845" width="10.7109375" style="75" customWidth="1"/>
    <col min="12846" max="12846" width="16.42578125" style="75" bestFit="1" customWidth="1"/>
    <col min="12847" max="12847" width="9.140625" style="75" customWidth="1"/>
    <col min="12848" max="12848" width="4.7109375" style="75" customWidth="1"/>
    <col min="12849" max="12849" width="22.140625" style="75" bestFit="1" customWidth="1"/>
    <col min="12850" max="12850" width="8.85546875" style="75" customWidth="1"/>
    <col min="12851" max="12851" width="11.85546875" style="75" bestFit="1" customWidth="1"/>
    <col min="12852" max="12853" width="9.85546875" style="75" customWidth="1"/>
    <col min="12854" max="12854" width="10" style="75" customWidth="1"/>
    <col min="12855" max="12855" width="5.140625" style="75" customWidth="1"/>
    <col min="12856" max="12856" width="10.7109375" style="75" customWidth="1"/>
    <col min="12857" max="12857" width="17.42578125" style="75" customWidth="1"/>
    <col min="12858" max="12858" width="9.140625" style="75" customWidth="1"/>
    <col min="12859" max="12859" width="4.7109375" style="75" customWidth="1"/>
    <col min="12860" max="12860" width="19.5703125" style="75" customWidth="1"/>
    <col min="12861" max="12861" width="8.85546875" style="75" customWidth="1"/>
    <col min="12862" max="12864" width="9.85546875" style="75" customWidth="1"/>
    <col min="12865" max="12865" width="10" style="75" customWidth="1"/>
    <col min="12866" max="12866" width="5.140625" style="75" customWidth="1"/>
    <col min="12867" max="12867" width="10.7109375" style="75" customWidth="1"/>
    <col min="12868" max="12868" width="20.5703125" style="75" customWidth="1"/>
    <col min="12869" max="12869" width="9.140625" style="75" customWidth="1"/>
    <col min="12870" max="12870" width="4.7109375" style="75" customWidth="1"/>
    <col min="12871" max="12871" width="19.5703125" style="75" customWidth="1"/>
    <col min="12872" max="12872" width="8.85546875" style="75" customWidth="1"/>
    <col min="12873" max="12875" width="10.28515625" style="75" customWidth="1"/>
    <col min="12876" max="12876" width="10" style="75" customWidth="1"/>
    <col min="12877" max="12877" width="5.140625" style="75" customWidth="1"/>
    <col min="12878" max="12878" width="10.7109375" style="75" customWidth="1"/>
    <col min="12879" max="12879" width="22" style="75" customWidth="1"/>
    <col min="12880" max="12885" width="9.140625" style="75" customWidth="1"/>
    <col min="12886" max="13083" width="9.140625" style="75"/>
    <col min="13084" max="13084" width="4.7109375" style="75" customWidth="1"/>
    <col min="13085" max="13085" width="24.28515625" style="75" bestFit="1" customWidth="1"/>
    <col min="13086" max="13086" width="9" style="75" customWidth="1"/>
    <col min="13087" max="13087" width="11" style="75" bestFit="1" customWidth="1"/>
    <col min="13088" max="13088" width="10" style="75" customWidth="1"/>
    <col min="13089" max="13089" width="5.140625" style="75" customWidth="1"/>
    <col min="13090" max="13090" width="10.7109375" style="75" customWidth="1"/>
    <col min="13091" max="13091" width="16.7109375" style="75" customWidth="1"/>
    <col min="13092" max="13092" width="9.140625" style="75" customWidth="1"/>
    <col min="13093" max="13093" width="4.7109375" style="75" customWidth="1"/>
    <col min="13094" max="13094" width="19.85546875" style="75" customWidth="1"/>
    <col min="13095" max="13095" width="8.85546875" style="75" customWidth="1"/>
    <col min="13096" max="13096" width="11.85546875" style="75" bestFit="1" customWidth="1"/>
    <col min="13097" max="13098" width="9.85546875" style="75" customWidth="1"/>
    <col min="13099" max="13099" width="10" style="75" customWidth="1"/>
    <col min="13100" max="13100" width="5.140625" style="75" customWidth="1"/>
    <col min="13101" max="13101" width="10.7109375" style="75" customWidth="1"/>
    <col min="13102" max="13102" width="16.42578125" style="75" bestFit="1" customWidth="1"/>
    <col min="13103" max="13103" width="9.140625" style="75" customWidth="1"/>
    <col min="13104" max="13104" width="4.7109375" style="75" customWidth="1"/>
    <col min="13105" max="13105" width="22.140625" style="75" bestFit="1" customWidth="1"/>
    <col min="13106" max="13106" width="8.85546875" style="75" customWidth="1"/>
    <col min="13107" max="13107" width="11.85546875" style="75" bestFit="1" customWidth="1"/>
    <col min="13108" max="13109" width="9.85546875" style="75" customWidth="1"/>
    <col min="13110" max="13110" width="10" style="75" customWidth="1"/>
    <col min="13111" max="13111" width="5.140625" style="75" customWidth="1"/>
    <col min="13112" max="13112" width="10.7109375" style="75" customWidth="1"/>
    <col min="13113" max="13113" width="17.42578125" style="75" customWidth="1"/>
    <col min="13114" max="13114" width="9.140625" style="75" customWidth="1"/>
    <col min="13115" max="13115" width="4.7109375" style="75" customWidth="1"/>
    <col min="13116" max="13116" width="19.5703125" style="75" customWidth="1"/>
    <col min="13117" max="13117" width="8.85546875" style="75" customWidth="1"/>
    <col min="13118" max="13120" width="9.85546875" style="75" customWidth="1"/>
    <col min="13121" max="13121" width="10" style="75" customWidth="1"/>
    <col min="13122" max="13122" width="5.140625" style="75" customWidth="1"/>
    <col min="13123" max="13123" width="10.7109375" style="75" customWidth="1"/>
    <col min="13124" max="13124" width="20.5703125" style="75" customWidth="1"/>
    <col min="13125" max="13125" width="9.140625" style="75" customWidth="1"/>
    <col min="13126" max="13126" width="4.7109375" style="75" customWidth="1"/>
    <col min="13127" max="13127" width="19.5703125" style="75" customWidth="1"/>
    <col min="13128" max="13128" width="8.85546875" style="75" customWidth="1"/>
    <col min="13129" max="13131" width="10.28515625" style="75" customWidth="1"/>
    <col min="13132" max="13132" width="10" style="75" customWidth="1"/>
    <col min="13133" max="13133" width="5.140625" style="75" customWidth="1"/>
    <col min="13134" max="13134" width="10.7109375" style="75" customWidth="1"/>
    <col min="13135" max="13135" width="22" style="75" customWidth="1"/>
    <col min="13136" max="13141" width="9.140625" style="75" customWidth="1"/>
    <col min="13142" max="13339" width="9.140625" style="75"/>
    <col min="13340" max="13340" width="4.7109375" style="75" customWidth="1"/>
    <col min="13341" max="13341" width="24.28515625" style="75" bestFit="1" customWidth="1"/>
    <col min="13342" max="13342" width="9" style="75" customWidth="1"/>
    <col min="13343" max="13343" width="11" style="75" bestFit="1" customWidth="1"/>
    <col min="13344" max="13344" width="10" style="75" customWidth="1"/>
    <col min="13345" max="13345" width="5.140625" style="75" customWidth="1"/>
    <col min="13346" max="13346" width="10.7109375" style="75" customWidth="1"/>
    <col min="13347" max="13347" width="16.7109375" style="75" customWidth="1"/>
    <col min="13348" max="13348" width="9.140625" style="75" customWidth="1"/>
    <col min="13349" max="13349" width="4.7109375" style="75" customWidth="1"/>
    <col min="13350" max="13350" width="19.85546875" style="75" customWidth="1"/>
    <col min="13351" max="13351" width="8.85546875" style="75" customWidth="1"/>
    <col min="13352" max="13352" width="11.85546875" style="75" bestFit="1" customWidth="1"/>
    <col min="13353" max="13354" width="9.85546875" style="75" customWidth="1"/>
    <col min="13355" max="13355" width="10" style="75" customWidth="1"/>
    <col min="13356" max="13356" width="5.140625" style="75" customWidth="1"/>
    <col min="13357" max="13357" width="10.7109375" style="75" customWidth="1"/>
    <col min="13358" max="13358" width="16.42578125" style="75" bestFit="1" customWidth="1"/>
    <col min="13359" max="13359" width="9.140625" style="75" customWidth="1"/>
    <col min="13360" max="13360" width="4.7109375" style="75" customWidth="1"/>
    <col min="13361" max="13361" width="22.140625" style="75" bestFit="1" customWidth="1"/>
    <col min="13362" max="13362" width="8.85546875" style="75" customWidth="1"/>
    <col min="13363" max="13363" width="11.85546875" style="75" bestFit="1" customWidth="1"/>
    <col min="13364" max="13365" width="9.85546875" style="75" customWidth="1"/>
    <col min="13366" max="13366" width="10" style="75" customWidth="1"/>
    <col min="13367" max="13367" width="5.140625" style="75" customWidth="1"/>
    <col min="13368" max="13368" width="10.7109375" style="75" customWidth="1"/>
    <col min="13369" max="13369" width="17.42578125" style="75" customWidth="1"/>
    <col min="13370" max="13370" width="9.140625" style="75" customWidth="1"/>
    <col min="13371" max="13371" width="4.7109375" style="75" customWidth="1"/>
    <col min="13372" max="13372" width="19.5703125" style="75" customWidth="1"/>
    <col min="13373" max="13373" width="8.85546875" style="75" customWidth="1"/>
    <col min="13374" max="13376" width="9.85546875" style="75" customWidth="1"/>
    <col min="13377" max="13377" width="10" style="75" customWidth="1"/>
    <col min="13378" max="13378" width="5.140625" style="75" customWidth="1"/>
    <col min="13379" max="13379" width="10.7109375" style="75" customWidth="1"/>
    <col min="13380" max="13380" width="20.5703125" style="75" customWidth="1"/>
    <col min="13381" max="13381" width="9.140625" style="75" customWidth="1"/>
    <col min="13382" max="13382" width="4.7109375" style="75" customWidth="1"/>
    <col min="13383" max="13383" width="19.5703125" style="75" customWidth="1"/>
    <col min="13384" max="13384" width="8.85546875" style="75" customWidth="1"/>
    <col min="13385" max="13387" width="10.28515625" style="75" customWidth="1"/>
    <col min="13388" max="13388" width="10" style="75" customWidth="1"/>
    <col min="13389" max="13389" width="5.140625" style="75" customWidth="1"/>
    <col min="13390" max="13390" width="10.7109375" style="75" customWidth="1"/>
    <col min="13391" max="13391" width="22" style="75" customWidth="1"/>
    <col min="13392" max="13397" width="9.140625" style="75" customWidth="1"/>
    <col min="13398" max="13595" width="9.140625" style="75"/>
    <col min="13596" max="13596" width="4.7109375" style="75" customWidth="1"/>
    <col min="13597" max="13597" width="24.28515625" style="75" bestFit="1" customWidth="1"/>
    <col min="13598" max="13598" width="9" style="75" customWidth="1"/>
    <col min="13599" max="13599" width="11" style="75" bestFit="1" customWidth="1"/>
    <col min="13600" max="13600" width="10" style="75" customWidth="1"/>
    <col min="13601" max="13601" width="5.140625" style="75" customWidth="1"/>
    <col min="13602" max="13602" width="10.7109375" style="75" customWidth="1"/>
    <col min="13603" max="13603" width="16.7109375" style="75" customWidth="1"/>
    <col min="13604" max="13604" width="9.140625" style="75" customWidth="1"/>
    <col min="13605" max="13605" width="4.7109375" style="75" customWidth="1"/>
    <col min="13606" max="13606" width="19.85546875" style="75" customWidth="1"/>
    <col min="13607" max="13607" width="8.85546875" style="75" customWidth="1"/>
    <col min="13608" max="13608" width="11.85546875" style="75" bestFit="1" customWidth="1"/>
    <col min="13609" max="13610" width="9.85546875" style="75" customWidth="1"/>
    <col min="13611" max="13611" width="10" style="75" customWidth="1"/>
    <col min="13612" max="13612" width="5.140625" style="75" customWidth="1"/>
    <col min="13613" max="13613" width="10.7109375" style="75" customWidth="1"/>
    <col min="13614" max="13614" width="16.42578125" style="75" bestFit="1" customWidth="1"/>
    <col min="13615" max="13615" width="9.140625" style="75" customWidth="1"/>
    <col min="13616" max="13616" width="4.7109375" style="75" customWidth="1"/>
    <col min="13617" max="13617" width="22.140625" style="75" bestFit="1" customWidth="1"/>
    <col min="13618" max="13618" width="8.85546875" style="75" customWidth="1"/>
    <col min="13619" max="13619" width="11.85546875" style="75" bestFit="1" customWidth="1"/>
    <col min="13620" max="13621" width="9.85546875" style="75" customWidth="1"/>
    <col min="13622" max="13622" width="10" style="75" customWidth="1"/>
    <col min="13623" max="13623" width="5.140625" style="75" customWidth="1"/>
    <col min="13624" max="13624" width="10.7109375" style="75" customWidth="1"/>
    <col min="13625" max="13625" width="17.42578125" style="75" customWidth="1"/>
    <col min="13626" max="13626" width="9.140625" style="75" customWidth="1"/>
    <col min="13627" max="13627" width="4.7109375" style="75" customWidth="1"/>
    <col min="13628" max="13628" width="19.5703125" style="75" customWidth="1"/>
    <col min="13629" max="13629" width="8.85546875" style="75" customWidth="1"/>
    <col min="13630" max="13632" width="9.85546875" style="75" customWidth="1"/>
    <col min="13633" max="13633" width="10" style="75" customWidth="1"/>
    <col min="13634" max="13634" width="5.140625" style="75" customWidth="1"/>
    <col min="13635" max="13635" width="10.7109375" style="75" customWidth="1"/>
    <col min="13636" max="13636" width="20.5703125" style="75" customWidth="1"/>
    <col min="13637" max="13637" width="9.140625" style="75" customWidth="1"/>
    <col min="13638" max="13638" width="4.7109375" style="75" customWidth="1"/>
    <col min="13639" max="13639" width="19.5703125" style="75" customWidth="1"/>
    <col min="13640" max="13640" width="8.85546875" style="75" customWidth="1"/>
    <col min="13641" max="13643" width="10.28515625" style="75" customWidth="1"/>
    <col min="13644" max="13644" width="10" style="75" customWidth="1"/>
    <col min="13645" max="13645" width="5.140625" style="75" customWidth="1"/>
    <col min="13646" max="13646" width="10.7109375" style="75" customWidth="1"/>
    <col min="13647" max="13647" width="22" style="75" customWidth="1"/>
    <col min="13648" max="13653" width="9.140625" style="75" customWidth="1"/>
    <col min="13654" max="13851" width="9.140625" style="75"/>
    <col min="13852" max="13852" width="4.7109375" style="75" customWidth="1"/>
    <col min="13853" max="13853" width="24.28515625" style="75" bestFit="1" customWidth="1"/>
    <col min="13854" max="13854" width="9" style="75" customWidth="1"/>
    <col min="13855" max="13855" width="11" style="75" bestFit="1" customWidth="1"/>
    <col min="13856" max="13856" width="10" style="75" customWidth="1"/>
    <col min="13857" max="13857" width="5.140625" style="75" customWidth="1"/>
    <col min="13858" max="13858" width="10.7109375" style="75" customWidth="1"/>
    <col min="13859" max="13859" width="16.7109375" style="75" customWidth="1"/>
    <col min="13860" max="13860" width="9.140625" style="75" customWidth="1"/>
    <col min="13861" max="13861" width="4.7109375" style="75" customWidth="1"/>
    <col min="13862" max="13862" width="19.85546875" style="75" customWidth="1"/>
    <col min="13863" max="13863" width="8.85546875" style="75" customWidth="1"/>
    <col min="13864" max="13864" width="11.85546875" style="75" bestFit="1" customWidth="1"/>
    <col min="13865" max="13866" width="9.85546875" style="75" customWidth="1"/>
    <col min="13867" max="13867" width="10" style="75" customWidth="1"/>
    <col min="13868" max="13868" width="5.140625" style="75" customWidth="1"/>
    <col min="13869" max="13869" width="10.7109375" style="75" customWidth="1"/>
    <col min="13870" max="13870" width="16.42578125" style="75" bestFit="1" customWidth="1"/>
    <col min="13871" max="13871" width="9.140625" style="75" customWidth="1"/>
    <col min="13872" max="13872" width="4.7109375" style="75" customWidth="1"/>
    <col min="13873" max="13873" width="22.140625" style="75" bestFit="1" customWidth="1"/>
    <col min="13874" max="13874" width="8.85546875" style="75" customWidth="1"/>
    <col min="13875" max="13875" width="11.85546875" style="75" bestFit="1" customWidth="1"/>
    <col min="13876" max="13877" width="9.85546875" style="75" customWidth="1"/>
    <col min="13878" max="13878" width="10" style="75" customWidth="1"/>
    <col min="13879" max="13879" width="5.140625" style="75" customWidth="1"/>
    <col min="13880" max="13880" width="10.7109375" style="75" customWidth="1"/>
    <col min="13881" max="13881" width="17.42578125" style="75" customWidth="1"/>
    <col min="13882" max="13882" width="9.140625" style="75" customWidth="1"/>
    <col min="13883" max="13883" width="4.7109375" style="75" customWidth="1"/>
    <col min="13884" max="13884" width="19.5703125" style="75" customWidth="1"/>
    <col min="13885" max="13885" width="8.85546875" style="75" customWidth="1"/>
    <col min="13886" max="13888" width="9.85546875" style="75" customWidth="1"/>
    <col min="13889" max="13889" width="10" style="75" customWidth="1"/>
    <col min="13890" max="13890" width="5.140625" style="75" customWidth="1"/>
    <col min="13891" max="13891" width="10.7109375" style="75" customWidth="1"/>
    <col min="13892" max="13892" width="20.5703125" style="75" customWidth="1"/>
    <col min="13893" max="13893" width="9.140625" style="75" customWidth="1"/>
    <col min="13894" max="13894" width="4.7109375" style="75" customWidth="1"/>
    <col min="13895" max="13895" width="19.5703125" style="75" customWidth="1"/>
    <col min="13896" max="13896" width="8.85546875" style="75" customWidth="1"/>
    <col min="13897" max="13899" width="10.28515625" style="75" customWidth="1"/>
    <col min="13900" max="13900" width="10" style="75" customWidth="1"/>
    <col min="13901" max="13901" width="5.140625" style="75" customWidth="1"/>
    <col min="13902" max="13902" width="10.7109375" style="75" customWidth="1"/>
    <col min="13903" max="13903" width="22" style="75" customWidth="1"/>
    <col min="13904" max="13909" width="9.140625" style="75" customWidth="1"/>
    <col min="13910" max="14107" width="9.140625" style="75"/>
    <col min="14108" max="14108" width="4.7109375" style="75" customWidth="1"/>
    <col min="14109" max="14109" width="24.28515625" style="75" bestFit="1" customWidth="1"/>
    <col min="14110" max="14110" width="9" style="75" customWidth="1"/>
    <col min="14111" max="14111" width="11" style="75" bestFit="1" customWidth="1"/>
    <col min="14112" max="14112" width="10" style="75" customWidth="1"/>
    <col min="14113" max="14113" width="5.140625" style="75" customWidth="1"/>
    <col min="14114" max="14114" width="10.7109375" style="75" customWidth="1"/>
    <col min="14115" max="14115" width="16.7109375" style="75" customWidth="1"/>
    <col min="14116" max="14116" width="9.140625" style="75" customWidth="1"/>
    <col min="14117" max="14117" width="4.7109375" style="75" customWidth="1"/>
    <col min="14118" max="14118" width="19.85546875" style="75" customWidth="1"/>
    <col min="14119" max="14119" width="8.85546875" style="75" customWidth="1"/>
    <col min="14120" max="14120" width="11.85546875" style="75" bestFit="1" customWidth="1"/>
    <col min="14121" max="14122" width="9.85546875" style="75" customWidth="1"/>
    <col min="14123" max="14123" width="10" style="75" customWidth="1"/>
    <col min="14124" max="14124" width="5.140625" style="75" customWidth="1"/>
    <col min="14125" max="14125" width="10.7109375" style="75" customWidth="1"/>
    <col min="14126" max="14126" width="16.42578125" style="75" bestFit="1" customWidth="1"/>
    <col min="14127" max="14127" width="9.140625" style="75" customWidth="1"/>
    <col min="14128" max="14128" width="4.7109375" style="75" customWidth="1"/>
    <col min="14129" max="14129" width="22.140625" style="75" bestFit="1" customWidth="1"/>
    <col min="14130" max="14130" width="8.85546875" style="75" customWidth="1"/>
    <col min="14131" max="14131" width="11.85546875" style="75" bestFit="1" customWidth="1"/>
    <col min="14132" max="14133" width="9.85546875" style="75" customWidth="1"/>
    <col min="14134" max="14134" width="10" style="75" customWidth="1"/>
    <col min="14135" max="14135" width="5.140625" style="75" customWidth="1"/>
    <col min="14136" max="14136" width="10.7109375" style="75" customWidth="1"/>
    <col min="14137" max="14137" width="17.42578125" style="75" customWidth="1"/>
    <col min="14138" max="14138" width="9.140625" style="75" customWidth="1"/>
    <col min="14139" max="14139" width="4.7109375" style="75" customWidth="1"/>
    <col min="14140" max="14140" width="19.5703125" style="75" customWidth="1"/>
    <col min="14141" max="14141" width="8.85546875" style="75" customWidth="1"/>
    <col min="14142" max="14144" width="9.85546875" style="75" customWidth="1"/>
    <col min="14145" max="14145" width="10" style="75" customWidth="1"/>
    <col min="14146" max="14146" width="5.140625" style="75" customWidth="1"/>
    <col min="14147" max="14147" width="10.7109375" style="75" customWidth="1"/>
    <col min="14148" max="14148" width="20.5703125" style="75" customWidth="1"/>
    <col min="14149" max="14149" width="9.140625" style="75" customWidth="1"/>
    <col min="14150" max="14150" width="4.7109375" style="75" customWidth="1"/>
    <col min="14151" max="14151" width="19.5703125" style="75" customWidth="1"/>
    <col min="14152" max="14152" width="8.85546875" style="75" customWidth="1"/>
    <col min="14153" max="14155" width="10.28515625" style="75" customWidth="1"/>
    <col min="14156" max="14156" width="10" style="75" customWidth="1"/>
    <col min="14157" max="14157" width="5.140625" style="75" customWidth="1"/>
    <col min="14158" max="14158" width="10.7109375" style="75" customWidth="1"/>
    <col min="14159" max="14159" width="22" style="75" customWidth="1"/>
    <col min="14160" max="14165" width="9.140625" style="75" customWidth="1"/>
    <col min="14166" max="14363" width="9.140625" style="75"/>
    <col min="14364" max="14364" width="4.7109375" style="75" customWidth="1"/>
    <col min="14365" max="14365" width="24.28515625" style="75" bestFit="1" customWidth="1"/>
    <col min="14366" max="14366" width="9" style="75" customWidth="1"/>
    <col min="14367" max="14367" width="11" style="75" bestFit="1" customWidth="1"/>
    <col min="14368" max="14368" width="10" style="75" customWidth="1"/>
    <col min="14369" max="14369" width="5.140625" style="75" customWidth="1"/>
    <col min="14370" max="14370" width="10.7109375" style="75" customWidth="1"/>
    <col min="14371" max="14371" width="16.7109375" style="75" customWidth="1"/>
    <col min="14372" max="14372" width="9.140625" style="75" customWidth="1"/>
    <col min="14373" max="14373" width="4.7109375" style="75" customWidth="1"/>
    <col min="14374" max="14374" width="19.85546875" style="75" customWidth="1"/>
    <col min="14375" max="14375" width="8.85546875" style="75" customWidth="1"/>
    <col min="14376" max="14376" width="11.85546875" style="75" bestFit="1" customWidth="1"/>
    <col min="14377" max="14378" width="9.85546875" style="75" customWidth="1"/>
    <col min="14379" max="14379" width="10" style="75" customWidth="1"/>
    <col min="14380" max="14380" width="5.140625" style="75" customWidth="1"/>
    <col min="14381" max="14381" width="10.7109375" style="75" customWidth="1"/>
    <col min="14382" max="14382" width="16.42578125" style="75" bestFit="1" customWidth="1"/>
    <col min="14383" max="14383" width="9.140625" style="75" customWidth="1"/>
    <col min="14384" max="14384" width="4.7109375" style="75" customWidth="1"/>
    <col min="14385" max="14385" width="22.140625" style="75" bestFit="1" customWidth="1"/>
    <col min="14386" max="14386" width="8.85546875" style="75" customWidth="1"/>
    <col min="14387" max="14387" width="11.85546875" style="75" bestFit="1" customWidth="1"/>
    <col min="14388" max="14389" width="9.85546875" style="75" customWidth="1"/>
    <col min="14390" max="14390" width="10" style="75" customWidth="1"/>
    <col min="14391" max="14391" width="5.140625" style="75" customWidth="1"/>
    <col min="14392" max="14392" width="10.7109375" style="75" customWidth="1"/>
    <col min="14393" max="14393" width="17.42578125" style="75" customWidth="1"/>
    <col min="14394" max="14394" width="9.140625" style="75" customWidth="1"/>
    <col min="14395" max="14395" width="4.7109375" style="75" customWidth="1"/>
    <col min="14396" max="14396" width="19.5703125" style="75" customWidth="1"/>
    <col min="14397" max="14397" width="8.85546875" style="75" customWidth="1"/>
    <col min="14398" max="14400" width="9.85546875" style="75" customWidth="1"/>
    <col min="14401" max="14401" width="10" style="75" customWidth="1"/>
    <col min="14402" max="14402" width="5.140625" style="75" customWidth="1"/>
    <col min="14403" max="14403" width="10.7109375" style="75" customWidth="1"/>
    <col min="14404" max="14404" width="20.5703125" style="75" customWidth="1"/>
    <col min="14405" max="14405" width="9.140625" style="75" customWidth="1"/>
    <col min="14406" max="14406" width="4.7109375" style="75" customWidth="1"/>
    <col min="14407" max="14407" width="19.5703125" style="75" customWidth="1"/>
    <col min="14408" max="14408" width="8.85546875" style="75" customWidth="1"/>
    <col min="14409" max="14411" width="10.28515625" style="75" customWidth="1"/>
    <col min="14412" max="14412" width="10" style="75" customWidth="1"/>
    <col min="14413" max="14413" width="5.140625" style="75" customWidth="1"/>
    <col min="14414" max="14414" width="10.7109375" style="75" customWidth="1"/>
    <col min="14415" max="14415" width="22" style="75" customWidth="1"/>
    <col min="14416" max="14421" width="9.140625" style="75" customWidth="1"/>
    <col min="14422" max="14619" width="9.140625" style="75"/>
    <col min="14620" max="14620" width="4.7109375" style="75" customWidth="1"/>
    <col min="14621" max="14621" width="24.28515625" style="75" bestFit="1" customWidth="1"/>
    <col min="14622" max="14622" width="9" style="75" customWidth="1"/>
    <col min="14623" max="14623" width="11" style="75" bestFit="1" customWidth="1"/>
    <col min="14624" max="14624" width="10" style="75" customWidth="1"/>
    <col min="14625" max="14625" width="5.140625" style="75" customWidth="1"/>
    <col min="14626" max="14626" width="10.7109375" style="75" customWidth="1"/>
    <col min="14627" max="14627" width="16.7109375" style="75" customWidth="1"/>
    <col min="14628" max="14628" width="9.140625" style="75" customWidth="1"/>
    <col min="14629" max="14629" width="4.7109375" style="75" customWidth="1"/>
    <col min="14630" max="14630" width="19.85546875" style="75" customWidth="1"/>
    <col min="14631" max="14631" width="8.85546875" style="75" customWidth="1"/>
    <col min="14632" max="14632" width="11.85546875" style="75" bestFit="1" customWidth="1"/>
    <col min="14633" max="14634" width="9.85546875" style="75" customWidth="1"/>
    <col min="14635" max="14635" width="10" style="75" customWidth="1"/>
    <col min="14636" max="14636" width="5.140625" style="75" customWidth="1"/>
    <col min="14637" max="14637" width="10.7109375" style="75" customWidth="1"/>
    <col min="14638" max="14638" width="16.42578125" style="75" bestFit="1" customWidth="1"/>
    <col min="14639" max="14639" width="9.140625" style="75" customWidth="1"/>
    <col min="14640" max="14640" width="4.7109375" style="75" customWidth="1"/>
    <col min="14641" max="14641" width="22.140625" style="75" bestFit="1" customWidth="1"/>
    <col min="14642" max="14642" width="8.85546875" style="75" customWidth="1"/>
    <col min="14643" max="14643" width="11.85546875" style="75" bestFit="1" customWidth="1"/>
    <col min="14644" max="14645" width="9.85546875" style="75" customWidth="1"/>
    <col min="14646" max="14646" width="10" style="75" customWidth="1"/>
    <col min="14647" max="14647" width="5.140625" style="75" customWidth="1"/>
    <col min="14648" max="14648" width="10.7109375" style="75" customWidth="1"/>
    <col min="14649" max="14649" width="17.42578125" style="75" customWidth="1"/>
    <col min="14650" max="14650" width="9.140625" style="75" customWidth="1"/>
    <col min="14651" max="14651" width="4.7109375" style="75" customWidth="1"/>
    <col min="14652" max="14652" width="19.5703125" style="75" customWidth="1"/>
    <col min="14653" max="14653" width="8.85546875" style="75" customWidth="1"/>
    <col min="14654" max="14656" width="9.85546875" style="75" customWidth="1"/>
    <col min="14657" max="14657" width="10" style="75" customWidth="1"/>
    <col min="14658" max="14658" width="5.140625" style="75" customWidth="1"/>
    <col min="14659" max="14659" width="10.7109375" style="75" customWidth="1"/>
    <col min="14660" max="14660" width="20.5703125" style="75" customWidth="1"/>
    <col min="14661" max="14661" width="9.140625" style="75" customWidth="1"/>
    <col min="14662" max="14662" width="4.7109375" style="75" customWidth="1"/>
    <col min="14663" max="14663" width="19.5703125" style="75" customWidth="1"/>
    <col min="14664" max="14664" width="8.85546875" style="75" customWidth="1"/>
    <col min="14665" max="14667" width="10.28515625" style="75" customWidth="1"/>
    <col min="14668" max="14668" width="10" style="75" customWidth="1"/>
    <col min="14669" max="14669" width="5.140625" style="75" customWidth="1"/>
    <col min="14670" max="14670" width="10.7109375" style="75" customWidth="1"/>
    <col min="14671" max="14671" width="22" style="75" customWidth="1"/>
    <col min="14672" max="14677" width="9.140625" style="75" customWidth="1"/>
    <col min="14678" max="14875" width="9.140625" style="75"/>
    <col min="14876" max="14876" width="4.7109375" style="75" customWidth="1"/>
    <col min="14877" max="14877" width="24.28515625" style="75" bestFit="1" customWidth="1"/>
    <col min="14878" max="14878" width="9" style="75" customWidth="1"/>
    <col min="14879" max="14879" width="11" style="75" bestFit="1" customWidth="1"/>
    <col min="14880" max="14880" width="10" style="75" customWidth="1"/>
    <col min="14881" max="14881" width="5.140625" style="75" customWidth="1"/>
    <col min="14882" max="14882" width="10.7109375" style="75" customWidth="1"/>
    <col min="14883" max="14883" width="16.7109375" style="75" customWidth="1"/>
    <col min="14884" max="14884" width="9.140625" style="75" customWidth="1"/>
    <col min="14885" max="14885" width="4.7109375" style="75" customWidth="1"/>
    <col min="14886" max="14886" width="19.85546875" style="75" customWidth="1"/>
    <col min="14887" max="14887" width="8.85546875" style="75" customWidth="1"/>
    <col min="14888" max="14888" width="11.85546875" style="75" bestFit="1" customWidth="1"/>
    <col min="14889" max="14890" width="9.85546875" style="75" customWidth="1"/>
    <col min="14891" max="14891" width="10" style="75" customWidth="1"/>
    <col min="14892" max="14892" width="5.140625" style="75" customWidth="1"/>
    <col min="14893" max="14893" width="10.7109375" style="75" customWidth="1"/>
    <col min="14894" max="14894" width="16.42578125" style="75" bestFit="1" customWidth="1"/>
    <col min="14895" max="14895" width="9.140625" style="75" customWidth="1"/>
    <col min="14896" max="14896" width="4.7109375" style="75" customWidth="1"/>
    <col min="14897" max="14897" width="22.140625" style="75" bestFit="1" customWidth="1"/>
    <col min="14898" max="14898" width="8.85546875" style="75" customWidth="1"/>
    <col min="14899" max="14899" width="11.85546875" style="75" bestFit="1" customWidth="1"/>
    <col min="14900" max="14901" width="9.85546875" style="75" customWidth="1"/>
    <col min="14902" max="14902" width="10" style="75" customWidth="1"/>
    <col min="14903" max="14903" width="5.140625" style="75" customWidth="1"/>
    <col min="14904" max="14904" width="10.7109375" style="75" customWidth="1"/>
    <col min="14905" max="14905" width="17.42578125" style="75" customWidth="1"/>
    <col min="14906" max="14906" width="9.140625" style="75" customWidth="1"/>
    <col min="14907" max="14907" width="4.7109375" style="75" customWidth="1"/>
    <col min="14908" max="14908" width="19.5703125" style="75" customWidth="1"/>
    <col min="14909" max="14909" width="8.85546875" style="75" customWidth="1"/>
    <col min="14910" max="14912" width="9.85546875" style="75" customWidth="1"/>
    <col min="14913" max="14913" width="10" style="75" customWidth="1"/>
    <col min="14914" max="14914" width="5.140625" style="75" customWidth="1"/>
    <col min="14915" max="14915" width="10.7109375" style="75" customWidth="1"/>
    <col min="14916" max="14916" width="20.5703125" style="75" customWidth="1"/>
    <col min="14917" max="14917" width="9.140625" style="75" customWidth="1"/>
    <col min="14918" max="14918" width="4.7109375" style="75" customWidth="1"/>
    <col min="14919" max="14919" width="19.5703125" style="75" customWidth="1"/>
    <col min="14920" max="14920" width="8.85546875" style="75" customWidth="1"/>
    <col min="14921" max="14923" width="10.28515625" style="75" customWidth="1"/>
    <col min="14924" max="14924" width="10" style="75" customWidth="1"/>
    <col min="14925" max="14925" width="5.140625" style="75" customWidth="1"/>
    <col min="14926" max="14926" width="10.7109375" style="75" customWidth="1"/>
    <col min="14927" max="14927" width="22" style="75" customWidth="1"/>
    <col min="14928" max="14933" width="9.140625" style="75" customWidth="1"/>
    <col min="14934" max="15131" width="9.140625" style="75"/>
    <col min="15132" max="15132" width="4.7109375" style="75" customWidth="1"/>
    <col min="15133" max="15133" width="24.28515625" style="75" bestFit="1" customWidth="1"/>
    <col min="15134" max="15134" width="9" style="75" customWidth="1"/>
    <col min="15135" max="15135" width="11" style="75" bestFit="1" customWidth="1"/>
    <col min="15136" max="15136" width="10" style="75" customWidth="1"/>
    <col min="15137" max="15137" width="5.140625" style="75" customWidth="1"/>
    <col min="15138" max="15138" width="10.7109375" style="75" customWidth="1"/>
    <col min="15139" max="15139" width="16.7109375" style="75" customWidth="1"/>
    <col min="15140" max="15140" width="9.140625" style="75" customWidth="1"/>
    <col min="15141" max="15141" width="4.7109375" style="75" customWidth="1"/>
    <col min="15142" max="15142" width="19.85546875" style="75" customWidth="1"/>
    <col min="15143" max="15143" width="8.85546875" style="75" customWidth="1"/>
    <col min="15144" max="15144" width="11.85546875" style="75" bestFit="1" customWidth="1"/>
    <col min="15145" max="15146" width="9.85546875" style="75" customWidth="1"/>
    <col min="15147" max="15147" width="10" style="75" customWidth="1"/>
    <col min="15148" max="15148" width="5.140625" style="75" customWidth="1"/>
    <col min="15149" max="15149" width="10.7109375" style="75" customWidth="1"/>
    <col min="15150" max="15150" width="16.42578125" style="75" bestFit="1" customWidth="1"/>
    <col min="15151" max="15151" width="9.140625" style="75" customWidth="1"/>
    <col min="15152" max="15152" width="4.7109375" style="75" customWidth="1"/>
    <col min="15153" max="15153" width="22.140625" style="75" bestFit="1" customWidth="1"/>
    <col min="15154" max="15154" width="8.85546875" style="75" customWidth="1"/>
    <col min="15155" max="15155" width="11.85546875" style="75" bestFit="1" customWidth="1"/>
    <col min="15156" max="15157" width="9.85546875" style="75" customWidth="1"/>
    <col min="15158" max="15158" width="10" style="75" customWidth="1"/>
    <col min="15159" max="15159" width="5.140625" style="75" customWidth="1"/>
    <col min="15160" max="15160" width="10.7109375" style="75" customWidth="1"/>
    <col min="15161" max="15161" width="17.42578125" style="75" customWidth="1"/>
    <col min="15162" max="15162" width="9.140625" style="75" customWidth="1"/>
    <col min="15163" max="15163" width="4.7109375" style="75" customWidth="1"/>
    <col min="15164" max="15164" width="19.5703125" style="75" customWidth="1"/>
    <col min="15165" max="15165" width="8.85546875" style="75" customWidth="1"/>
    <col min="15166" max="15168" width="9.85546875" style="75" customWidth="1"/>
    <col min="15169" max="15169" width="10" style="75" customWidth="1"/>
    <col min="15170" max="15170" width="5.140625" style="75" customWidth="1"/>
    <col min="15171" max="15171" width="10.7109375" style="75" customWidth="1"/>
    <col min="15172" max="15172" width="20.5703125" style="75" customWidth="1"/>
    <col min="15173" max="15173" width="9.140625" style="75" customWidth="1"/>
    <col min="15174" max="15174" width="4.7109375" style="75" customWidth="1"/>
    <col min="15175" max="15175" width="19.5703125" style="75" customWidth="1"/>
    <col min="15176" max="15176" width="8.85546875" style="75" customWidth="1"/>
    <col min="15177" max="15179" width="10.28515625" style="75" customWidth="1"/>
    <col min="15180" max="15180" width="10" style="75" customWidth="1"/>
    <col min="15181" max="15181" width="5.140625" style="75" customWidth="1"/>
    <col min="15182" max="15182" width="10.7109375" style="75" customWidth="1"/>
    <col min="15183" max="15183" width="22" style="75" customWidth="1"/>
    <col min="15184" max="15189" width="9.140625" style="75" customWidth="1"/>
    <col min="15190" max="15387" width="9.140625" style="75"/>
    <col min="15388" max="15388" width="4.7109375" style="75" customWidth="1"/>
    <col min="15389" max="15389" width="24.28515625" style="75" bestFit="1" customWidth="1"/>
    <col min="15390" max="15390" width="9" style="75" customWidth="1"/>
    <col min="15391" max="15391" width="11" style="75" bestFit="1" customWidth="1"/>
    <col min="15392" max="15392" width="10" style="75" customWidth="1"/>
    <col min="15393" max="15393" width="5.140625" style="75" customWidth="1"/>
    <col min="15394" max="15394" width="10.7109375" style="75" customWidth="1"/>
    <col min="15395" max="15395" width="16.7109375" style="75" customWidth="1"/>
    <col min="15396" max="15396" width="9.140625" style="75" customWidth="1"/>
    <col min="15397" max="15397" width="4.7109375" style="75" customWidth="1"/>
    <col min="15398" max="15398" width="19.85546875" style="75" customWidth="1"/>
    <col min="15399" max="15399" width="8.85546875" style="75" customWidth="1"/>
    <col min="15400" max="15400" width="11.85546875" style="75" bestFit="1" customWidth="1"/>
    <col min="15401" max="15402" width="9.85546875" style="75" customWidth="1"/>
    <col min="15403" max="15403" width="10" style="75" customWidth="1"/>
    <col min="15404" max="15404" width="5.140625" style="75" customWidth="1"/>
    <col min="15405" max="15405" width="10.7109375" style="75" customWidth="1"/>
    <col min="15406" max="15406" width="16.42578125" style="75" bestFit="1" customWidth="1"/>
    <col min="15407" max="15407" width="9.140625" style="75" customWidth="1"/>
    <col min="15408" max="15408" width="4.7109375" style="75" customWidth="1"/>
    <col min="15409" max="15409" width="22.140625" style="75" bestFit="1" customWidth="1"/>
    <col min="15410" max="15410" width="8.85546875" style="75" customWidth="1"/>
    <col min="15411" max="15411" width="11.85546875" style="75" bestFit="1" customWidth="1"/>
    <col min="15412" max="15413" width="9.85546875" style="75" customWidth="1"/>
    <col min="15414" max="15414" width="10" style="75" customWidth="1"/>
    <col min="15415" max="15415" width="5.140625" style="75" customWidth="1"/>
    <col min="15416" max="15416" width="10.7109375" style="75" customWidth="1"/>
    <col min="15417" max="15417" width="17.42578125" style="75" customWidth="1"/>
    <col min="15418" max="15418" width="9.140625" style="75" customWidth="1"/>
    <col min="15419" max="15419" width="4.7109375" style="75" customWidth="1"/>
    <col min="15420" max="15420" width="19.5703125" style="75" customWidth="1"/>
    <col min="15421" max="15421" width="8.85546875" style="75" customWidth="1"/>
    <col min="15422" max="15424" width="9.85546875" style="75" customWidth="1"/>
    <col min="15425" max="15425" width="10" style="75" customWidth="1"/>
    <col min="15426" max="15426" width="5.140625" style="75" customWidth="1"/>
    <col min="15427" max="15427" width="10.7109375" style="75" customWidth="1"/>
    <col min="15428" max="15428" width="20.5703125" style="75" customWidth="1"/>
    <col min="15429" max="15429" width="9.140625" style="75" customWidth="1"/>
    <col min="15430" max="15430" width="4.7109375" style="75" customWidth="1"/>
    <col min="15431" max="15431" width="19.5703125" style="75" customWidth="1"/>
    <col min="15432" max="15432" width="8.85546875" style="75" customWidth="1"/>
    <col min="15433" max="15435" width="10.28515625" style="75" customWidth="1"/>
    <col min="15436" max="15436" width="10" style="75" customWidth="1"/>
    <col min="15437" max="15437" width="5.140625" style="75" customWidth="1"/>
    <col min="15438" max="15438" width="10.7109375" style="75" customWidth="1"/>
    <col min="15439" max="15439" width="22" style="75" customWidth="1"/>
    <col min="15440" max="15445" width="9.140625" style="75" customWidth="1"/>
    <col min="15446" max="15643" width="9.140625" style="75"/>
    <col min="15644" max="15644" width="4.7109375" style="75" customWidth="1"/>
    <col min="15645" max="15645" width="24.28515625" style="75" bestFit="1" customWidth="1"/>
    <col min="15646" max="15646" width="9" style="75" customWidth="1"/>
    <col min="15647" max="15647" width="11" style="75" bestFit="1" customWidth="1"/>
    <col min="15648" max="15648" width="10" style="75" customWidth="1"/>
    <col min="15649" max="15649" width="5.140625" style="75" customWidth="1"/>
    <col min="15650" max="15650" width="10.7109375" style="75" customWidth="1"/>
    <col min="15651" max="15651" width="16.7109375" style="75" customWidth="1"/>
    <col min="15652" max="15652" width="9.140625" style="75" customWidth="1"/>
    <col min="15653" max="15653" width="4.7109375" style="75" customWidth="1"/>
    <col min="15654" max="15654" width="19.85546875" style="75" customWidth="1"/>
    <col min="15655" max="15655" width="8.85546875" style="75" customWidth="1"/>
    <col min="15656" max="15656" width="11.85546875" style="75" bestFit="1" customWidth="1"/>
    <col min="15657" max="15658" width="9.85546875" style="75" customWidth="1"/>
    <col min="15659" max="15659" width="10" style="75" customWidth="1"/>
    <col min="15660" max="15660" width="5.140625" style="75" customWidth="1"/>
    <col min="15661" max="15661" width="10.7109375" style="75" customWidth="1"/>
    <col min="15662" max="15662" width="16.42578125" style="75" bestFit="1" customWidth="1"/>
    <col min="15663" max="15663" width="9.140625" style="75" customWidth="1"/>
    <col min="15664" max="15664" width="4.7109375" style="75" customWidth="1"/>
    <col min="15665" max="15665" width="22.140625" style="75" bestFit="1" customWidth="1"/>
    <col min="15666" max="15666" width="8.85546875" style="75" customWidth="1"/>
    <col min="15667" max="15667" width="11.85546875" style="75" bestFit="1" customWidth="1"/>
    <col min="15668" max="15669" width="9.85546875" style="75" customWidth="1"/>
    <col min="15670" max="15670" width="10" style="75" customWidth="1"/>
    <col min="15671" max="15671" width="5.140625" style="75" customWidth="1"/>
    <col min="15672" max="15672" width="10.7109375" style="75" customWidth="1"/>
    <col min="15673" max="15673" width="17.42578125" style="75" customWidth="1"/>
    <col min="15674" max="15674" width="9.140625" style="75" customWidth="1"/>
    <col min="15675" max="15675" width="4.7109375" style="75" customWidth="1"/>
    <col min="15676" max="15676" width="19.5703125" style="75" customWidth="1"/>
    <col min="15677" max="15677" width="8.85546875" style="75" customWidth="1"/>
    <col min="15678" max="15680" width="9.85546875" style="75" customWidth="1"/>
    <col min="15681" max="15681" width="10" style="75" customWidth="1"/>
    <col min="15682" max="15682" width="5.140625" style="75" customWidth="1"/>
    <col min="15683" max="15683" width="10.7109375" style="75" customWidth="1"/>
    <col min="15684" max="15684" width="20.5703125" style="75" customWidth="1"/>
    <col min="15685" max="15685" width="9.140625" style="75" customWidth="1"/>
    <col min="15686" max="15686" width="4.7109375" style="75" customWidth="1"/>
    <col min="15687" max="15687" width="19.5703125" style="75" customWidth="1"/>
    <col min="15688" max="15688" width="8.85546875" style="75" customWidth="1"/>
    <col min="15689" max="15691" width="10.28515625" style="75" customWidth="1"/>
    <col min="15692" max="15692" width="10" style="75" customWidth="1"/>
    <col min="15693" max="15693" width="5.140625" style="75" customWidth="1"/>
    <col min="15694" max="15694" width="10.7109375" style="75" customWidth="1"/>
    <col min="15695" max="15695" width="22" style="75" customWidth="1"/>
    <col min="15696" max="15701" width="9.140625" style="75" customWidth="1"/>
    <col min="15702" max="15899" width="9.140625" style="75"/>
    <col min="15900" max="15900" width="4.7109375" style="75" customWidth="1"/>
    <col min="15901" max="15901" width="24.28515625" style="75" bestFit="1" customWidth="1"/>
    <col min="15902" max="15902" width="9" style="75" customWidth="1"/>
    <col min="15903" max="15903" width="11" style="75" bestFit="1" customWidth="1"/>
    <col min="15904" max="15904" width="10" style="75" customWidth="1"/>
    <col min="15905" max="15905" width="5.140625" style="75" customWidth="1"/>
    <col min="15906" max="15906" width="10.7109375" style="75" customWidth="1"/>
    <col min="15907" max="15907" width="16.7109375" style="75" customWidth="1"/>
    <col min="15908" max="15908" width="9.140625" style="75" customWidth="1"/>
    <col min="15909" max="15909" width="4.7109375" style="75" customWidth="1"/>
    <col min="15910" max="15910" width="19.85546875" style="75" customWidth="1"/>
    <col min="15911" max="15911" width="8.85546875" style="75" customWidth="1"/>
    <col min="15912" max="15912" width="11.85546875" style="75" bestFit="1" customWidth="1"/>
    <col min="15913" max="15914" width="9.85546875" style="75" customWidth="1"/>
    <col min="15915" max="15915" width="10" style="75" customWidth="1"/>
    <col min="15916" max="15916" width="5.140625" style="75" customWidth="1"/>
    <col min="15917" max="15917" width="10.7109375" style="75" customWidth="1"/>
    <col min="15918" max="15918" width="16.42578125" style="75" bestFit="1" customWidth="1"/>
    <col min="15919" max="15919" width="9.140625" style="75" customWidth="1"/>
    <col min="15920" max="15920" width="4.7109375" style="75" customWidth="1"/>
    <col min="15921" max="15921" width="22.140625" style="75" bestFit="1" customWidth="1"/>
    <col min="15922" max="15922" width="8.85546875" style="75" customWidth="1"/>
    <col min="15923" max="15923" width="11.85546875" style="75" bestFit="1" customWidth="1"/>
    <col min="15924" max="15925" width="9.85546875" style="75" customWidth="1"/>
    <col min="15926" max="15926" width="10" style="75" customWidth="1"/>
    <col min="15927" max="15927" width="5.140625" style="75" customWidth="1"/>
    <col min="15928" max="15928" width="10.7109375" style="75" customWidth="1"/>
    <col min="15929" max="15929" width="17.42578125" style="75" customWidth="1"/>
    <col min="15930" max="15930" width="9.140625" style="75" customWidth="1"/>
    <col min="15931" max="15931" width="4.7109375" style="75" customWidth="1"/>
    <col min="15932" max="15932" width="19.5703125" style="75" customWidth="1"/>
    <col min="15933" max="15933" width="8.85546875" style="75" customWidth="1"/>
    <col min="15934" max="15936" width="9.85546875" style="75" customWidth="1"/>
    <col min="15937" max="15937" width="10" style="75" customWidth="1"/>
    <col min="15938" max="15938" width="5.140625" style="75" customWidth="1"/>
    <col min="15939" max="15939" width="10.7109375" style="75" customWidth="1"/>
    <col min="15940" max="15940" width="20.5703125" style="75" customWidth="1"/>
    <col min="15941" max="15941" width="9.140625" style="75" customWidth="1"/>
    <col min="15942" max="15942" width="4.7109375" style="75" customWidth="1"/>
    <col min="15943" max="15943" width="19.5703125" style="75" customWidth="1"/>
    <col min="15944" max="15944" width="8.85546875" style="75" customWidth="1"/>
    <col min="15945" max="15947" width="10.28515625" style="75" customWidth="1"/>
    <col min="15948" max="15948" width="10" style="75" customWidth="1"/>
    <col min="15949" max="15949" width="5.140625" style="75" customWidth="1"/>
    <col min="15950" max="15950" width="10.7109375" style="75" customWidth="1"/>
    <col min="15951" max="15951" width="22" style="75" customWidth="1"/>
    <col min="15952" max="15957" width="9.140625" style="75" customWidth="1"/>
    <col min="15958" max="16155" width="9.140625" style="75"/>
    <col min="16156" max="16156" width="4.7109375" style="75" customWidth="1"/>
    <col min="16157" max="16157" width="24.28515625" style="75" bestFit="1" customWidth="1"/>
    <col min="16158" max="16158" width="9" style="75" customWidth="1"/>
    <col min="16159" max="16159" width="11" style="75" bestFit="1" customWidth="1"/>
    <col min="16160" max="16160" width="10" style="75" customWidth="1"/>
    <col min="16161" max="16161" width="5.140625" style="75" customWidth="1"/>
    <col min="16162" max="16162" width="10.7109375" style="75" customWidth="1"/>
    <col min="16163" max="16163" width="16.7109375" style="75" customWidth="1"/>
    <col min="16164" max="16164" width="9.140625" style="75" customWidth="1"/>
    <col min="16165" max="16165" width="4.7109375" style="75" customWidth="1"/>
    <col min="16166" max="16166" width="19.85546875" style="75" customWidth="1"/>
    <col min="16167" max="16167" width="8.85546875" style="75" customWidth="1"/>
    <col min="16168" max="16168" width="11.85546875" style="75" bestFit="1" customWidth="1"/>
    <col min="16169" max="16170" width="9.85546875" style="75" customWidth="1"/>
    <col min="16171" max="16171" width="10" style="75" customWidth="1"/>
    <col min="16172" max="16172" width="5.140625" style="75" customWidth="1"/>
    <col min="16173" max="16173" width="10.7109375" style="75" customWidth="1"/>
    <col min="16174" max="16174" width="16.42578125" style="75" bestFit="1" customWidth="1"/>
    <col min="16175" max="16175" width="9.140625" style="75" customWidth="1"/>
    <col min="16176" max="16176" width="4.7109375" style="75" customWidth="1"/>
    <col min="16177" max="16177" width="22.140625" style="75" bestFit="1" customWidth="1"/>
    <col min="16178" max="16178" width="8.85546875" style="75" customWidth="1"/>
    <col min="16179" max="16179" width="11.85546875" style="75" bestFit="1" customWidth="1"/>
    <col min="16180" max="16181" width="9.85546875" style="75" customWidth="1"/>
    <col min="16182" max="16182" width="10" style="75" customWidth="1"/>
    <col min="16183" max="16183" width="5.140625" style="75" customWidth="1"/>
    <col min="16184" max="16184" width="10.7109375" style="75" customWidth="1"/>
    <col min="16185" max="16185" width="17.42578125" style="75" customWidth="1"/>
    <col min="16186" max="16186" width="9.140625" style="75" customWidth="1"/>
    <col min="16187" max="16187" width="4.7109375" style="75" customWidth="1"/>
    <col min="16188" max="16188" width="19.5703125" style="75" customWidth="1"/>
    <col min="16189" max="16189" width="8.85546875" style="75" customWidth="1"/>
    <col min="16190" max="16192" width="9.85546875" style="75" customWidth="1"/>
    <col min="16193" max="16193" width="10" style="75" customWidth="1"/>
    <col min="16194" max="16194" width="5.140625" style="75" customWidth="1"/>
    <col min="16195" max="16195" width="10.7109375" style="75" customWidth="1"/>
    <col min="16196" max="16196" width="20.5703125" style="75" customWidth="1"/>
    <col min="16197" max="16197" width="9.140625" style="75" customWidth="1"/>
    <col min="16198" max="16198" width="4.7109375" style="75" customWidth="1"/>
    <col min="16199" max="16199" width="19.5703125" style="75" customWidth="1"/>
    <col min="16200" max="16200" width="8.85546875" style="75" customWidth="1"/>
    <col min="16201" max="16203" width="10.28515625" style="75" customWidth="1"/>
    <col min="16204" max="16204" width="10" style="75" customWidth="1"/>
    <col min="16205" max="16205" width="5.140625" style="75" customWidth="1"/>
    <col min="16206" max="16206" width="10.7109375" style="75" customWidth="1"/>
    <col min="16207" max="16207" width="22" style="75" customWidth="1"/>
    <col min="16208" max="16213" width="9.140625" style="75" customWidth="1"/>
    <col min="16214" max="16384" width="9.140625" style="75"/>
  </cols>
  <sheetData>
    <row r="2" spans="2:96" s="68" customFormat="1" ht="15" customHeight="1" x14ac:dyDescent="0.25">
      <c r="B2" s="606" t="s">
        <v>376</v>
      </c>
      <c r="C2" s="606"/>
      <c r="D2" s="606"/>
      <c r="E2" s="606"/>
      <c r="F2" s="606"/>
      <c r="G2" s="606"/>
      <c r="H2" s="606"/>
      <c r="I2" s="606"/>
      <c r="J2" s="606"/>
      <c r="K2" s="606"/>
      <c r="L2" s="237"/>
      <c r="N2" s="606" t="s">
        <v>377</v>
      </c>
      <c r="O2" s="606"/>
      <c r="P2" s="606"/>
      <c r="Q2" s="606"/>
      <c r="R2" s="606"/>
      <c r="S2" s="606"/>
      <c r="T2" s="606"/>
      <c r="U2" s="606"/>
      <c r="V2" s="606"/>
      <c r="W2" s="606"/>
      <c r="X2" s="237"/>
      <c r="Z2" s="606" t="s">
        <v>430</v>
      </c>
      <c r="AA2" s="606"/>
      <c r="AB2" s="606"/>
      <c r="AC2" s="606"/>
      <c r="AD2" s="606"/>
      <c r="AE2" s="606"/>
      <c r="AF2" s="606"/>
      <c r="AG2" s="606"/>
      <c r="AH2" s="606"/>
      <c r="AI2" s="606"/>
      <c r="AJ2" s="471"/>
      <c r="AL2" s="606" t="s">
        <v>431</v>
      </c>
      <c r="AM2" s="606"/>
      <c r="AN2" s="606"/>
      <c r="AO2" s="606"/>
      <c r="AP2" s="606"/>
      <c r="AQ2" s="606"/>
      <c r="AR2" s="606"/>
      <c r="AS2" s="606"/>
      <c r="AT2" s="606"/>
      <c r="AU2" s="606"/>
      <c r="AV2" s="471"/>
      <c r="AX2" s="606" t="s">
        <v>432</v>
      </c>
      <c r="AY2" s="606"/>
      <c r="AZ2" s="606"/>
      <c r="BA2" s="606"/>
      <c r="BB2" s="606"/>
      <c r="BC2" s="606"/>
      <c r="BD2" s="606"/>
      <c r="BE2" s="606"/>
      <c r="BF2" s="606"/>
      <c r="BG2" s="606"/>
      <c r="BH2" s="471"/>
      <c r="BJ2" s="606" t="s">
        <v>433</v>
      </c>
      <c r="BK2" s="606"/>
      <c r="BL2" s="606"/>
      <c r="BM2" s="606"/>
      <c r="BN2" s="606"/>
      <c r="BO2" s="606"/>
      <c r="BP2" s="606"/>
      <c r="BQ2" s="606"/>
      <c r="BR2" s="606"/>
      <c r="BS2" s="606"/>
      <c r="BT2" s="471"/>
      <c r="BV2" s="606" t="s">
        <v>434</v>
      </c>
      <c r="BW2" s="606"/>
      <c r="BX2" s="606"/>
      <c r="BY2" s="606"/>
      <c r="BZ2" s="606"/>
      <c r="CA2" s="606"/>
      <c r="CB2" s="606"/>
      <c r="CC2" s="606"/>
      <c r="CD2" s="606"/>
      <c r="CE2" s="606"/>
      <c r="CF2" s="471"/>
      <c r="CH2" s="606" t="s">
        <v>435</v>
      </c>
      <c r="CI2" s="606"/>
      <c r="CJ2" s="606"/>
      <c r="CK2" s="606"/>
      <c r="CL2" s="606"/>
      <c r="CM2" s="606"/>
      <c r="CN2" s="606"/>
      <c r="CO2" s="606"/>
      <c r="CP2" s="606"/>
      <c r="CQ2" s="606"/>
      <c r="CR2" s="471"/>
    </row>
    <row r="3" spans="2:96" ht="15" customHeight="1" x14ac:dyDescent="0.25">
      <c r="B3" s="197">
        <v>1</v>
      </c>
      <c r="C3" s="197">
        <v>2</v>
      </c>
      <c r="D3" s="640">
        <v>3</v>
      </c>
      <c r="E3" s="640"/>
      <c r="F3" s="197">
        <v>4</v>
      </c>
      <c r="G3" s="255">
        <v>5</v>
      </c>
      <c r="H3" s="197">
        <v>6</v>
      </c>
      <c r="I3" s="197">
        <v>7</v>
      </c>
      <c r="J3" s="209">
        <v>8</v>
      </c>
      <c r="K3" s="197">
        <v>9</v>
      </c>
      <c r="L3" s="255">
        <v>10</v>
      </c>
      <c r="N3" s="255">
        <v>1</v>
      </c>
      <c r="O3" s="255">
        <v>2</v>
      </c>
      <c r="P3" s="640">
        <v>3</v>
      </c>
      <c r="Q3" s="640"/>
      <c r="R3" s="255">
        <v>4</v>
      </c>
      <c r="S3" s="255">
        <v>5</v>
      </c>
      <c r="T3" s="255">
        <v>6</v>
      </c>
      <c r="U3" s="255">
        <v>7</v>
      </c>
      <c r="V3" s="255">
        <v>8</v>
      </c>
      <c r="W3" s="255">
        <v>9</v>
      </c>
      <c r="X3" s="255">
        <v>10</v>
      </c>
      <c r="Z3" s="476">
        <v>1</v>
      </c>
      <c r="AA3" s="476">
        <v>2</v>
      </c>
      <c r="AB3" s="640">
        <v>3</v>
      </c>
      <c r="AC3" s="640"/>
      <c r="AD3" s="476">
        <v>4</v>
      </c>
      <c r="AE3" s="476">
        <v>5</v>
      </c>
      <c r="AF3" s="476">
        <v>6</v>
      </c>
      <c r="AG3" s="476">
        <v>7</v>
      </c>
      <c r="AH3" s="476">
        <v>8</v>
      </c>
      <c r="AI3" s="476">
        <v>9</v>
      </c>
      <c r="AJ3" s="476">
        <v>10</v>
      </c>
      <c r="AL3" s="476">
        <v>1</v>
      </c>
      <c r="AM3" s="476">
        <v>2</v>
      </c>
      <c r="AN3" s="640">
        <v>3</v>
      </c>
      <c r="AO3" s="640"/>
      <c r="AP3" s="476">
        <v>4</v>
      </c>
      <c r="AQ3" s="476">
        <v>5</v>
      </c>
      <c r="AR3" s="476">
        <v>6</v>
      </c>
      <c r="AS3" s="476">
        <v>7</v>
      </c>
      <c r="AT3" s="476">
        <v>8</v>
      </c>
      <c r="AU3" s="476">
        <v>9</v>
      </c>
      <c r="AV3" s="476">
        <v>10</v>
      </c>
      <c r="AX3" s="476">
        <v>1</v>
      </c>
      <c r="AY3" s="476">
        <v>2</v>
      </c>
      <c r="AZ3" s="640">
        <v>3</v>
      </c>
      <c r="BA3" s="640"/>
      <c r="BB3" s="476">
        <v>4</v>
      </c>
      <c r="BC3" s="476">
        <v>5</v>
      </c>
      <c r="BD3" s="476">
        <v>6</v>
      </c>
      <c r="BE3" s="476">
        <v>7</v>
      </c>
      <c r="BF3" s="476">
        <v>8</v>
      </c>
      <c r="BG3" s="476">
        <v>9</v>
      </c>
      <c r="BH3" s="476">
        <v>10</v>
      </c>
      <c r="BJ3" s="476">
        <v>1</v>
      </c>
      <c r="BK3" s="476">
        <v>2</v>
      </c>
      <c r="BL3" s="640">
        <v>3</v>
      </c>
      <c r="BM3" s="640"/>
      <c r="BN3" s="476">
        <v>4</v>
      </c>
      <c r="BO3" s="476">
        <v>5</v>
      </c>
      <c r="BP3" s="476">
        <v>6</v>
      </c>
      <c r="BQ3" s="476">
        <v>7</v>
      </c>
      <c r="BR3" s="476">
        <v>8</v>
      </c>
      <c r="BS3" s="476">
        <v>9</v>
      </c>
      <c r="BT3" s="476">
        <v>10</v>
      </c>
      <c r="BV3" s="476">
        <v>1</v>
      </c>
      <c r="BW3" s="476">
        <v>2</v>
      </c>
      <c r="BX3" s="640">
        <v>3</v>
      </c>
      <c r="BY3" s="640"/>
      <c r="BZ3" s="476">
        <v>4</v>
      </c>
      <c r="CA3" s="476">
        <v>5</v>
      </c>
      <c r="CB3" s="476">
        <v>6</v>
      </c>
      <c r="CC3" s="476">
        <v>7</v>
      </c>
      <c r="CD3" s="476">
        <v>8</v>
      </c>
      <c r="CE3" s="476">
        <v>9</v>
      </c>
      <c r="CF3" s="476">
        <v>10</v>
      </c>
      <c r="CH3" s="476">
        <v>1</v>
      </c>
      <c r="CI3" s="476">
        <v>2</v>
      </c>
      <c r="CJ3" s="640">
        <v>3</v>
      </c>
      <c r="CK3" s="640"/>
      <c r="CL3" s="476">
        <v>4</v>
      </c>
      <c r="CM3" s="476">
        <v>5</v>
      </c>
      <c r="CN3" s="476">
        <v>6</v>
      </c>
      <c r="CO3" s="476">
        <v>7</v>
      </c>
      <c r="CP3" s="476">
        <v>8</v>
      </c>
      <c r="CQ3" s="476">
        <v>9</v>
      </c>
      <c r="CR3" s="476">
        <v>10</v>
      </c>
    </row>
    <row r="4" spans="2:96" ht="30" customHeight="1" x14ac:dyDescent="0.25">
      <c r="B4" s="198" t="s">
        <v>279</v>
      </c>
      <c r="C4" s="198" t="s">
        <v>12</v>
      </c>
      <c r="D4" s="641" t="s">
        <v>325</v>
      </c>
      <c r="E4" s="641"/>
      <c r="F4" s="198" t="s">
        <v>15</v>
      </c>
      <c r="G4" s="199" t="s">
        <v>375</v>
      </c>
      <c r="H4" s="199" t="s">
        <v>17</v>
      </c>
      <c r="I4" s="199" t="s">
        <v>446</v>
      </c>
      <c r="J4" s="199" t="s">
        <v>447</v>
      </c>
      <c r="K4" s="191" t="s">
        <v>439</v>
      </c>
      <c r="L4" s="191" t="s">
        <v>439</v>
      </c>
      <c r="N4" s="227" t="s">
        <v>279</v>
      </c>
      <c r="O4" s="227" t="s">
        <v>12</v>
      </c>
      <c r="P4" s="641" t="s">
        <v>325</v>
      </c>
      <c r="Q4" s="641"/>
      <c r="R4" s="227" t="s">
        <v>15</v>
      </c>
      <c r="S4" s="199" t="s">
        <v>375</v>
      </c>
      <c r="T4" s="199" t="s">
        <v>17</v>
      </c>
      <c r="U4" s="199" t="s">
        <v>446</v>
      </c>
      <c r="V4" s="199" t="s">
        <v>447</v>
      </c>
      <c r="W4" s="191" t="s">
        <v>439</v>
      </c>
      <c r="X4" s="191" t="s">
        <v>439</v>
      </c>
      <c r="Z4" s="478" t="s">
        <v>279</v>
      </c>
      <c r="AA4" s="478" t="s">
        <v>12</v>
      </c>
      <c r="AB4" s="641" t="s">
        <v>325</v>
      </c>
      <c r="AC4" s="641"/>
      <c r="AD4" s="478" t="s">
        <v>15</v>
      </c>
      <c r="AE4" s="199" t="s">
        <v>375</v>
      </c>
      <c r="AF4" s="199" t="s">
        <v>17</v>
      </c>
      <c r="AG4" s="199" t="s">
        <v>446</v>
      </c>
      <c r="AH4" s="199" t="s">
        <v>447</v>
      </c>
      <c r="AI4" s="191" t="s">
        <v>439</v>
      </c>
      <c r="AJ4" s="191" t="s">
        <v>439</v>
      </c>
      <c r="AL4" s="478" t="s">
        <v>279</v>
      </c>
      <c r="AM4" s="478" t="s">
        <v>12</v>
      </c>
      <c r="AN4" s="641" t="s">
        <v>325</v>
      </c>
      <c r="AO4" s="641"/>
      <c r="AP4" s="478" t="s">
        <v>15</v>
      </c>
      <c r="AQ4" s="199" t="s">
        <v>375</v>
      </c>
      <c r="AR4" s="199" t="s">
        <v>17</v>
      </c>
      <c r="AS4" s="199" t="s">
        <v>446</v>
      </c>
      <c r="AT4" s="199" t="s">
        <v>447</v>
      </c>
      <c r="AU4" s="191" t="s">
        <v>439</v>
      </c>
      <c r="AV4" s="191" t="s">
        <v>439</v>
      </c>
      <c r="AX4" s="478" t="s">
        <v>279</v>
      </c>
      <c r="AY4" s="478" t="s">
        <v>12</v>
      </c>
      <c r="AZ4" s="641" t="s">
        <v>325</v>
      </c>
      <c r="BA4" s="641"/>
      <c r="BB4" s="478" t="s">
        <v>15</v>
      </c>
      <c r="BC4" s="199" t="s">
        <v>375</v>
      </c>
      <c r="BD4" s="199" t="s">
        <v>17</v>
      </c>
      <c r="BE4" s="199" t="s">
        <v>446</v>
      </c>
      <c r="BF4" s="199" t="s">
        <v>447</v>
      </c>
      <c r="BG4" s="191" t="s">
        <v>439</v>
      </c>
      <c r="BH4" s="191" t="s">
        <v>439</v>
      </c>
      <c r="BJ4" s="478" t="s">
        <v>279</v>
      </c>
      <c r="BK4" s="478" t="s">
        <v>12</v>
      </c>
      <c r="BL4" s="641" t="s">
        <v>325</v>
      </c>
      <c r="BM4" s="641"/>
      <c r="BN4" s="478" t="s">
        <v>15</v>
      </c>
      <c r="BO4" s="199" t="s">
        <v>375</v>
      </c>
      <c r="BP4" s="199" t="s">
        <v>17</v>
      </c>
      <c r="BQ4" s="199" t="s">
        <v>446</v>
      </c>
      <c r="BR4" s="199" t="s">
        <v>447</v>
      </c>
      <c r="BS4" s="191" t="s">
        <v>439</v>
      </c>
      <c r="BT4" s="191" t="s">
        <v>439</v>
      </c>
      <c r="BV4" s="478" t="s">
        <v>279</v>
      </c>
      <c r="BW4" s="478" t="s">
        <v>12</v>
      </c>
      <c r="BX4" s="641" t="s">
        <v>325</v>
      </c>
      <c r="BY4" s="641"/>
      <c r="BZ4" s="478" t="s">
        <v>15</v>
      </c>
      <c r="CA4" s="199" t="s">
        <v>375</v>
      </c>
      <c r="CB4" s="199" t="s">
        <v>17</v>
      </c>
      <c r="CC4" s="199" t="s">
        <v>446</v>
      </c>
      <c r="CD4" s="199" t="s">
        <v>447</v>
      </c>
      <c r="CE4" s="191" t="s">
        <v>439</v>
      </c>
      <c r="CF4" s="191" t="s">
        <v>439</v>
      </c>
      <c r="CH4" s="478" t="s">
        <v>279</v>
      </c>
      <c r="CI4" s="478" t="s">
        <v>12</v>
      </c>
      <c r="CJ4" s="641" t="s">
        <v>325</v>
      </c>
      <c r="CK4" s="641"/>
      <c r="CL4" s="478" t="s">
        <v>15</v>
      </c>
      <c r="CM4" s="199" t="s">
        <v>375</v>
      </c>
      <c r="CN4" s="199" t="s">
        <v>17</v>
      </c>
      <c r="CO4" s="199" t="s">
        <v>446</v>
      </c>
      <c r="CP4" s="199" t="s">
        <v>447</v>
      </c>
      <c r="CQ4" s="191" t="s">
        <v>439</v>
      </c>
      <c r="CR4" s="191" t="s">
        <v>439</v>
      </c>
    </row>
    <row r="5" spans="2:96" ht="15" customHeight="1" x14ac:dyDescent="0.25">
      <c r="B5" s="226" t="s">
        <v>299</v>
      </c>
      <c r="C5" s="50" t="s">
        <v>298</v>
      </c>
      <c r="D5" s="256" t="s">
        <v>40</v>
      </c>
      <c r="E5" s="256" t="s">
        <v>300</v>
      </c>
      <c r="F5" s="191"/>
      <c r="G5" s="190"/>
      <c r="H5" s="200"/>
      <c r="I5" s="209" t="s">
        <v>40</v>
      </c>
      <c r="J5" s="209" t="s">
        <v>300</v>
      </c>
      <c r="K5" s="162" t="s">
        <v>40</v>
      </c>
      <c r="L5" s="162" t="s">
        <v>300</v>
      </c>
      <c r="N5" s="226" t="s">
        <v>299</v>
      </c>
      <c r="O5" s="50" t="s">
        <v>298</v>
      </c>
      <c r="P5" s="256" t="s">
        <v>40</v>
      </c>
      <c r="Q5" s="256" t="s">
        <v>300</v>
      </c>
      <c r="R5" s="346"/>
      <c r="S5" s="190"/>
      <c r="T5" s="200"/>
      <c r="U5" s="255" t="s">
        <v>40</v>
      </c>
      <c r="V5" s="255" t="s">
        <v>300</v>
      </c>
      <c r="W5" s="162" t="s">
        <v>40</v>
      </c>
      <c r="X5" s="162" t="s">
        <v>300</v>
      </c>
      <c r="Z5" s="226" t="s">
        <v>299</v>
      </c>
      <c r="AA5" s="50" t="s">
        <v>298</v>
      </c>
      <c r="AB5" s="256" t="s">
        <v>40</v>
      </c>
      <c r="AC5" s="256" t="s">
        <v>300</v>
      </c>
      <c r="AD5" s="346"/>
      <c r="AE5" s="190"/>
      <c r="AF5" s="200"/>
      <c r="AG5" s="476" t="s">
        <v>40</v>
      </c>
      <c r="AH5" s="476" t="s">
        <v>300</v>
      </c>
      <c r="AI5" s="162" t="s">
        <v>40</v>
      </c>
      <c r="AJ5" s="162" t="s">
        <v>300</v>
      </c>
      <c r="AL5" s="226" t="s">
        <v>299</v>
      </c>
      <c r="AM5" s="50" t="s">
        <v>298</v>
      </c>
      <c r="AN5" s="256" t="s">
        <v>40</v>
      </c>
      <c r="AO5" s="256" t="s">
        <v>300</v>
      </c>
      <c r="AP5" s="346"/>
      <c r="AQ5" s="190"/>
      <c r="AR5" s="200"/>
      <c r="AS5" s="476" t="s">
        <v>40</v>
      </c>
      <c r="AT5" s="476" t="s">
        <v>300</v>
      </c>
      <c r="AU5" s="162" t="s">
        <v>40</v>
      </c>
      <c r="AV5" s="162" t="s">
        <v>300</v>
      </c>
      <c r="AX5" s="226" t="s">
        <v>299</v>
      </c>
      <c r="AY5" s="50" t="s">
        <v>298</v>
      </c>
      <c r="AZ5" s="256" t="s">
        <v>40</v>
      </c>
      <c r="BA5" s="256" t="s">
        <v>300</v>
      </c>
      <c r="BB5" s="346"/>
      <c r="BC5" s="190"/>
      <c r="BD5" s="200"/>
      <c r="BE5" s="476" t="s">
        <v>40</v>
      </c>
      <c r="BF5" s="476" t="s">
        <v>300</v>
      </c>
      <c r="BG5" s="162" t="s">
        <v>40</v>
      </c>
      <c r="BH5" s="162" t="s">
        <v>300</v>
      </c>
      <c r="BJ5" s="226" t="s">
        <v>299</v>
      </c>
      <c r="BK5" s="50" t="s">
        <v>298</v>
      </c>
      <c r="BL5" s="256" t="s">
        <v>40</v>
      </c>
      <c r="BM5" s="256" t="s">
        <v>300</v>
      </c>
      <c r="BN5" s="346"/>
      <c r="BO5" s="190"/>
      <c r="BP5" s="200"/>
      <c r="BQ5" s="476" t="s">
        <v>40</v>
      </c>
      <c r="BR5" s="476" t="s">
        <v>300</v>
      </c>
      <c r="BS5" s="162" t="s">
        <v>40</v>
      </c>
      <c r="BT5" s="162" t="s">
        <v>300</v>
      </c>
      <c r="BV5" s="226" t="s">
        <v>299</v>
      </c>
      <c r="BW5" s="50" t="s">
        <v>298</v>
      </c>
      <c r="BX5" s="256" t="s">
        <v>40</v>
      </c>
      <c r="BY5" s="256" t="s">
        <v>300</v>
      </c>
      <c r="BZ5" s="346"/>
      <c r="CA5" s="190"/>
      <c r="CB5" s="200"/>
      <c r="CC5" s="476" t="s">
        <v>40</v>
      </c>
      <c r="CD5" s="476" t="s">
        <v>300</v>
      </c>
      <c r="CE5" s="162" t="s">
        <v>40</v>
      </c>
      <c r="CF5" s="162" t="s">
        <v>300</v>
      </c>
      <c r="CH5" s="226" t="s">
        <v>299</v>
      </c>
      <c r="CI5" s="50" t="s">
        <v>298</v>
      </c>
      <c r="CJ5" s="256" t="s">
        <v>40</v>
      </c>
      <c r="CK5" s="256" t="s">
        <v>300</v>
      </c>
      <c r="CL5" s="346"/>
      <c r="CM5" s="190"/>
      <c r="CN5" s="200"/>
      <c r="CO5" s="476" t="s">
        <v>40</v>
      </c>
      <c r="CP5" s="476" t="s">
        <v>300</v>
      </c>
      <c r="CQ5" s="162" t="s">
        <v>40</v>
      </c>
      <c r="CR5" s="162" t="s">
        <v>300</v>
      </c>
    </row>
    <row r="6" spans="2:96" ht="15" customHeight="1" x14ac:dyDescent="0.25">
      <c r="B6" s="171">
        <v>1</v>
      </c>
      <c r="C6" s="201" t="s">
        <v>19</v>
      </c>
      <c r="D6" s="257">
        <v>1</v>
      </c>
      <c r="E6" s="257">
        <v>0</v>
      </c>
      <c r="F6" s="202">
        <f>'1 Sol'!G15</f>
        <v>47559841975800</v>
      </c>
      <c r="G6" s="68" t="s">
        <v>437</v>
      </c>
      <c r="H6" s="203">
        <v>1</v>
      </c>
      <c r="I6" s="196">
        <f t="shared" ref="I6:I24" si="0">D6*F6*H6</f>
        <v>47559841975800</v>
      </c>
      <c r="J6" s="196">
        <f t="shared" ref="J6:J24" si="1">E6*F6*H6</f>
        <v>0</v>
      </c>
      <c r="K6" s="204">
        <f>I6/'EmUSD - EmR$'!$C$8</f>
        <v>14.412073326</v>
      </c>
      <c r="L6" s="204">
        <f>J6/'EmUSD - EmR$'!$C$8</f>
        <v>0</v>
      </c>
      <c r="N6" s="235">
        <v>1</v>
      </c>
      <c r="O6" s="201" t="s">
        <v>19</v>
      </c>
      <c r="P6" s="257">
        <v>1</v>
      </c>
      <c r="Q6" s="257">
        <v>0</v>
      </c>
      <c r="R6" s="202">
        <f>'1 Sol'!G15+F6</f>
        <v>95119683951600</v>
      </c>
      <c r="S6" s="68" t="s">
        <v>437</v>
      </c>
      <c r="T6" s="203">
        <v>1</v>
      </c>
      <c r="U6" s="196">
        <f t="shared" ref="U6:U24" si="2">P6*R6*T6</f>
        <v>95119683951600</v>
      </c>
      <c r="V6" s="196">
        <f t="shared" ref="V6:V24" si="3">Q6*R6*T6</f>
        <v>0</v>
      </c>
      <c r="W6" s="204">
        <f>U6/'EmUSD - EmR$'!$C$8</f>
        <v>28.824146652</v>
      </c>
      <c r="X6" s="204">
        <f>V6/'EmUSD - EmR$'!$C$8</f>
        <v>0</v>
      </c>
      <c r="Z6" s="467">
        <v>1</v>
      </c>
      <c r="AA6" s="201" t="s">
        <v>19</v>
      </c>
      <c r="AB6" s="257">
        <v>1</v>
      </c>
      <c r="AC6" s="257">
        <v>0</v>
      </c>
      <c r="AD6" s="202">
        <f>'1 Sol'!H15</f>
        <v>71339762963700</v>
      </c>
      <c r="AE6" s="68" t="s">
        <v>437</v>
      </c>
      <c r="AF6" s="203">
        <v>1</v>
      </c>
      <c r="AG6" s="196">
        <f>AB6*AD6*AF6</f>
        <v>71339762963700</v>
      </c>
      <c r="AH6" s="196">
        <f t="shared" ref="AH6:AH24" si="4">AC6*AD6*AF6</f>
        <v>0</v>
      </c>
      <c r="AI6" s="204">
        <f>AG6/'EmUSD - EmR$'!$C$8</f>
        <v>21.618109989000001</v>
      </c>
      <c r="AJ6" s="204">
        <f>AH6/'EmUSD - EmR$'!$C$8</f>
        <v>0</v>
      </c>
      <c r="AL6" s="467">
        <v>1</v>
      </c>
      <c r="AM6" s="201" t="s">
        <v>19</v>
      </c>
      <c r="AN6" s="257">
        <v>1</v>
      </c>
      <c r="AO6" s="257">
        <v>0</v>
      </c>
      <c r="AP6" s="202">
        <f>'1 Sol'!H17</f>
        <v>241425380255400</v>
      </c>
      <c r="AQ6" s="68" t="s">
        <v>437</v>
      </c>
      <c r="AR6" s="203">
        <v>1</v>
      </c>
      <c r="AS6" s="196">
        <f t="shared" ref="AS6:AS24" si="5">AN6*AP6*AR6</f>
        <v>241425380255400</v>
      </c>
      <c r="AT6" s="196">
        <f t="shared" ref="AT6:AT24" si="6">AO6*AP6*AR6</f>
        <v>0</v>
      </c>
      <c r="AU6" s="204">
        <f>AS6/'EmUSD - EmR$'!$C$8</f>
        <v>73.159206138000002</v>
      </c>
      <c r="AV6" s="204">
        <f>AT6/'EmUSD - EmR$'!$C$8</f>
        <v>0</v>
      </c>
      <c r="AX6" s="467">
        <v>1</v>
      </c>
      <c r="AY6" s="201" t="s">
        <v>19</v>
      </c>
      <c r="AZ6" s="257">
        <v>1</v>
      </c>
      <c r="BA6" s="257">
        <v>0</v>
      </c>
      <c r="BB6" s="202">
        <f>'1 Sol'!H19</f>
        <v>400972406772960</v>
      </c>
      <c r="BC6" s="68" t="s">
        <v>437</v>
      </c>
      <c r="BD6" s="203">
        <v>1</v>
      </c>
      <c r="BE6" s="196">
        <f t="shared" ref="BE6:BE24" si="7">AZ6*BB6*BD6</f>
        <v>400972406772960</v>
      </c>
      <c r="BF6" s="196">
        <f t="shared" ref="BF6:BF24" si="8">BA6*BB6*BD6</f>
        <v>0</v>
      </c>
      <c r="BG6" s="204">
        <f>BE6/'EmUSD - EmR$'!$C$8</f>
        <v>121.5067899312</v>
      </c>
      <c r="BH6" s="204">
        <f>BF6/'EmUSD - EmR$'!$C$8</f>
        <v>0</v>
      </c>
      <c r="BJ6" s="467">
        <v>1</v>
      </c>
      <c r="BK6" s="201" t="s">
        <v>19</v>
      </c>
      <c r="BL6" s="257">
        <v>1</v>
      </c>
      <c r="BM6" s="257">
        <v>0</v>
      </c>
      <c r="BN6" s="202">
        <f>'1 Sol'!H21</f>
        <v>771387510967920.12</v>
      </c>
      <c r="BO6" s="68" t="s">
        <v>437</v>
      </c>
      <c r="BP6" s="203">
        <v>1</v>
      </c>
      <c r="BQ6" s="196">
        <f t="shared" ref="BQ6:BQ24" si="9">BL6*BN6*BP6</f>
        <v>771387510967920.12</v>
      </c>
      <c r="BR6" s="196">
        <f t="shared" ref="BR6:BR24" si="10">BM6*BN6*BP6</f>
        <v>0</v>
      </c>
      <c r="BS6" s="204">
        <f>BQ6/'EmUSD - EmR$'!$C$8</f>
        <v>233.75379120240004</v>
      </c>
      <c r="BT6" s="204">
        <f>BR6/'EmUSD - EmR$'!$C$8</f>
        <v>0</v>
      </c>
      <c r="BV6" s="467">
        <v>1</v>
      </c>
      <c r="BW6" s="201" t="s">
        <v>19</v>
      </c>
      <c r="BX6" s="257">
        <v>1</v>
      </c>
      <c r="BY6" s="257">
        <v>0</v>
      </c>
      <c r="BZ6" s="202">
        <f>'1 Sol'!H23</f>
        <v>1164261556616400</v>
      </c>
      <c r="CA6" s="68" t="s">
        <v>437</v>
      </c>
      <c r="CB6" s="203">
        <v>1</v>
      </c>
      <c r="CC6" s="196">
        <f t="shared" ref="CC6:CC24" si="11">BX6*BZ6*CB6</f>
        <v>1164261556616400</v>
      </c>
      <c r="CD6" s="196">
        <f t="shared" ref="CD6:CD24" si="12">BY6*BZ6*CB6</f>
        <v>0</v>
      </c>
      <c r="CE6" s="204">
        <f>CC6/'EmUSD - EmR$'!$C$8</f>
        <v>352.80653230799999</v>
      </c>
      <c r="CF6" s="204">
        <f>CD6/'EmUSD - EmR$'!$C$8</f>
        <v>0</v>
      </c>
      <c r="CH6" s="467">
        <v>1</v>
      </c>
      <c r="CI6" s="201" t="s">
        <v>19</v>
      </c>
      <c r="CJ6" s="257">
        <v>1</v>
      </c>
      <c r="CK6" s="257">
        <v>0</v>
      </c>
      <c r="CL6" s="202">
        <f>'1 Sol'!H25</f>
        <v>1550400319250640</v>
      </c>
      <c r="CM6" s="68" t="s">
        <v>437</v>
      </c>
      <c r="CN6" s="203">
        <v>1</v>
      </c>
      <c r="CO6" s="196">
        <f t="shared" ref="CO6:CO24" si="13">CJ6*CL6*CN6</f>
        <v>1550400319250640</v>
      </c>
      <c r="CP6" s="196">
        <f t="shared" ref="CP6:CP24" si="14">CK6*CL6*CN6</f>
        <v>0</v>
      </c>
      <c r="CQ6" s="204">
        <f>CO6/'EmUSD - EmR$'!$C$8</f>
        <v>469.81827856080002</v>
      </c>
      <c r="CR6" s="204">
        <f>CP6/'EmUSD - EmR$'!$C$8</f>
        <v>0</v>
      </c>
    </row>
    <row r="7" spans="2:96" ht="15" customHeight="1" x14ac:dyDescent="0.25">
      <c r="B7" s="172">
        <v>2</v>
      </c>
      <c r="C7" s="195" t="s">
        <v>280</v>
      </c>
      <c r="D7" s="258">
        <v>1</v>
      </c>
      <c r="E7" s="258">
        <v>0</v>
      </c>
      <c r="F7" s="205">
        <f>'2 Chuva'!F16</f>
        <v>66541800000</v>
      </c>
      <c r="G7" s="68" t="s">
        <v>437</v>
      </c>
      <c r="H7" s="196">
        <v>30500</v>
      </c>
      <c r="I7" s="196">
        <f t="shared" si="0"/>
        <v>2029524900000000</v>
      </c>
      <c r="J7" s="196">
        <f t="shared" si="1"/>
        <v>0</v>
      </c>
      <c r="K7" s="204">
        <f>I7/'EmUSD - EmR$'!$C$8</f>
        <v>615.00754545454549</v>
      </c>
      <c r="L7" s="204">
        <f>J7/'EmUSD - EmR$'!$C$8</f>
        <v>0</v>
      </c>
      <c r="N7" s="236">
        <v>2</v>
      </c>
      <c r="O7" s="195" t="s">
        <v>280</v>
      </c>
      <c r="P7" s="258">
        <v>1</v>
      </c>
      <c r="Q7" s="258">
        <v>0</v>
      </c>
      <c r="R7" s="205">
        <f>'2 Chuva'!F16+F7</f>
        <v>133083600000</v>
      </c>
      <c r="S7" s="68" t="s">
        <v>437</v>
      </c>
      <c r="T7" s="196">
        <v>30500</v>
      </c>
      <c r="U7" s="196">
        <f t="shared" si="2"/>
        <v>4059049800000000</v>
      </c>
      <c r="V7" s="196">
        <f t="shared" si="3"/>
        <v>0</v>
      </c>
      <c r="W7" s="204">
        <f>U7/'EmUSD - EmR$'!$C$8</f>
        <v>1230.015090909091</v>
      </c>
      <c r="X7" s="204">
        <f>V7/'EmUSD - EmR$'!$C$8</f>
        <v>0</v>
      </c>
      <c r="Z7" s="468">
        <v>2</v>
      </c>
      <c r="AA7" s="195" t="s">
        <v>280</v>
      </c>
      <c r="AB7" s="258">
        <v>1</v>
      </c>
      <c r="AC7" s="258">
        <v>0</v>
      </c>
      <c r="AD7" s="205">
        <f>'2 Chuva'!K5</f>
        <v>99812700000</v>
      </c>
      <c r="AE7" s="68" t="s">
        <v>437</v>
      </c>
      <c r="AF7" s="196">
        <v>30500</v>
      </c>
      <c r="AG7" s="196">
        <f t="shared" ref="AG7:AG24" si="15">AB7*AD7*AF7</f>
        <v>3044287350000000</v>
      </c>
      <c r="AH7" s="196">
        <f t="shared" si="4"/>
        <v>0</v>
      </c>
      <c r="AI7" s="204">
        <f>AG7/'EmUSD - EmR$'!$C$8</f>
        <v>922.51131818181818</v>
      </c>
      <c r="AJ7" s="204">
        <f>AH7/'EmUSD - EmR$'!$C$8</f>
        <v>0</v>
      </c>
      <c r="AL7" s="468">
        <v>2</v>
      </c>
      <c r="AM7" s="195" t="s">
        <v>280</v>
      </c>
      <c r="AN7" s="258">
        <v>1</v>
      </c>
      <c r="AO7" s="258">
        <v>0</v>
      </c>
      <c r="AP7" s="205">
        <f>'2 Chuva'!K7</f>
        <v>332709000000</v>
      </c>
      <c r="AQ7" s="68" t="s">
        <v>437</v>
      </c>
      <c r="AR7" s="196">
        <v>30500</v>
      </c>
      <c r="AS7" s="196">
        <f t="shared" si="5"/>
        <v>1.01476245E+16</v>
      </c>
      <c r="AT7" s="196">
        <f t="shared" si="6"/>
        <v>0</v>
      </c>
      <c r="AU7" s="204">
        <f>AS7/'EmUSD - EmR$'!$C$8</f>
        <v>3075.0377272727274</v>
      </c>
      <c r="AV7" s="204">
        <f>AT7/'EmUSD - EmR$'!$C$8</f>
        <v>0</v>
      </c>
      <c r="AX7" s="468">
        <v>2</v>
      </c>
      <c r="AY7" s="195" t="s">
        <v>280</v>
      </c>
      <c r="AZ7" s="258">
        <v>1</v>
      </c>
      <c r="BA7" s="258">
        <v>0</v>
      </c>
      <c r="BB7" s="205">
        <f>'2 Chuva'!K9</f>
        <v>532334400000</v>
      </c>
      <c r="BC7" s="68" t="s">
        <v>437</v>
      </c>
      <c r="BD7" s="196">
        <v>30500</v>
      </c>
      <c r="BE7" s="196">
        <f t="shared" si="7"/>
        <v>1.62361992E+16</v>
      </c>
      <c r="BF7" s="196">
        <f t="shared" si="8"/>
        <v>0</v>
      </c>
      <c r="BG7" s="204">
        <f>BE7/'EmUSD - EmR$'!$C$8</f>
        <v>4920.0603636363639</v>
      </c>
      <c r="BH7" s="204">
        <f>BF7/'EmUSD - EmR$'!$C$8</f>
        <v>0</v>
      </c>
      <c r="BJ7" s="468">
        <v>2</v>
      </c>
      <c r="BK7" s="195" t="s">
        <v>280</v>
      </c>
      <c r="BL7" s="258">
        <v>1</v>
      </c>
      <c r="BM7" s="258">
        <v>0</v>
      </c>
      <c r="BN7" s="205">
        <f>'2 Chuva'!K11</f>
        <v>931585200000</v>
      </c>
      <c r="BO7" s="68" t="s">
        <v>437</v>
      </c>
      <c r="BP7" s="196">
        <v>30500</v>
      </c>
      <c r="BQ7" s="196">
        <f t="shared" si="9"/>
        <v>2.84133486E+16</v>
      </c>
      <c r="BR7" s="196">
        <f t="shared" si="10"/>
        <v>0</v>
      </c>
      <c r="BS7" s="204">
        <f>BQ7/'EmUSD - EmR$'!$C$8</f>
        <v>8610.1056363636362</v>
      </c>
      <c r="BT7" s="204">
        <f>BR7/'EmUSD - EmR$'!$C$8</f>
        <v>0</v>
      </c>
      <c r="BV7" s="468">
        <v>2</v>
      </c>
      <c r="BW7" s="195" t="s">
        <v>280</v>
      </c>
      <c r="BX7" s="258">
        <v>1</v>
      </c>
      <c r="BY7" s="258">
        <v>0</v>
      </c>
      <c r="BZ7" s="205">
        <f>'2 Chuva'!K13</f>
        <v>1330836000000</v>
      </c>
      <c r="CA7" s="68" t="s">
        <v>437</v>
      </c>
      <c r="CB7" s="196">
        <v>30500</v>
      </c>
      <c r="CC7" s="196">
        <f t="shared" si="11"/>
        <v>4.0590498E+16</v>
      </c>
      <c r="CD7" s="196">
        <f t="shared" si="12"/>
        <v>0</v>
      </c>
      <c r="CE7" s="204">
        <f>CC7/'EmUSD - EmR$'!$C$8</f>
        <v>12300.150909090909</v>
      </c>
      <c r="CF7" s="204">
        <f>CD7/'EmUSD - EmR$'!$C$8</f>
        <v>0</v>
      </c>
      <c r="CH7" s="468">
        <v>2</v>
      </c>
      <c r="CI7" s="195" t="s">
        <v>280</v>
      </c>
      <c r="CJ7" s="258">
        <v>1</v>
      </c>
      <c r="CK7" s="258">
        <v>0</v>
      </c>
      <c r="CL7" s="205">
        <f>'2 Chuva'!K15</f>
        <v>1730086800000</v>
      </c>
      <c r="CM7" s="68" t="s">
        <v>437</v>
      </c>
      <c r="CN7" s="196">
        <v>30500</v>
      </c>
      <c r="CO7" s="196">
        <f t="shared" si="13"/>
        <v>5.27676474E+16</v>
      </c>
      <c r="CP7" s="196">
        <f t="shared" si="14"/>
        <v>0</v>
      </c>
      <c r="CQ7" s="204">
        <f>CO7/'EmUSD - EmR$'!$C$8</f>
        <v>15990.196181818183</v>
      </c>
      <c r="CR7" s="204">
        <f>CP7/'EmUSD - EmR$'!$C$8</f>
        <v>0</v>
      </c>
    </row>
    <row r="8" spans="2:96" ht="15" customHeight="1" x14ac:dyDescent="0.25">
      <c r="B8" s="172">
        <v>3</v>
      </c>
      <c r="C8" s="195" t="s">
        <v>22</v>
      </c>
      <c r="D8" s="258">
        <v>1</v>
      </c>
      <c r="E8" s="258">
        <v>0</v>
      </c>
      <c r="F8" s="205">
        <f>'3 Vento'!I7</f>
        <v>615881000.86500013</v>
      </c>
      <c r="G8" s="68" t="s">
        <v>437</v>
      </c>
      <c r="H8" s="196">
        <v>2450</v>
      </c>
      <c r="I8" s="196">
        <f t="shared" si="0"/>
        <v>1508908452119.2502</v>
      </c>
      <c r="J8" s="196">
        <f t="shared" si="1"/>
        <v>0</v>
      </c>
      <c r="K8" s="204">
        <f>I8/'EmUSD - EmR$'!$C$8</f>
        <v>0.45724498549068188</v>
      </c>
      <c r="L8" s="204">
        <f>J8/'EmUSD - EmR$'!$C$8</f>
        <v>0</v>
      </c>
      <c r="N8" s="236">
        <v>3</v>
      </c>
      <c r="O8" s="195" t="s">
        <v>22</v>
      </c>
      <c r="P8" s="258">
        <v>1</v>
      </c>
      <c r="Q8" s="258">
        <v>0</v>
      </c>
      <c r="R8" s="205">
        <f>'3 Vento'!D18+F8</f>
        <v>1231762001.7300003</v>
      </c>
      <c r="S8" s="68" t="s">
        <v>437</v>
      </c>
      <c r="T8" s="196">
        <v>2450</v>
      </c>
      <c r="U8" s="196">
        <f t="shared" si="2"/>
        <v>3017816904238.5005</v>
      </c>
      <c r="V8" s="196">
        <f t="shared" si="3"/>
        <v>0</v>
      </c>
      <c r="W8" s="204">
        <f>U8/'EmUSD - EmR$'!$C$8</f>
        <v>0.91448997098136375</v>
      </c>
      <c r="X8" s="204">
        <f>V8/'EmUSD - EmR$'!$C$8</f>
        <v>0</v>
      </c>
      <c r="Z8" s="468">
        <v>3</v>
      </c>
      <c r="AA8" s="195" t="s">
        <v>22</v>
      </c>
      <c r="AB8" s="258">
        <v>1</v>
      </c>
      <c r="AC8" s="258">
        <v>0</v>
      </c>
      <c r="AD8" s="205">
        <f>'3 Vento'!J7</f>
        <v>923821501.29750013</v>
      </c>
      <c r="AE8" s="68" t="s">
        <v>437</v>
      </c>
      <c r="AF8" s="196">
        <v>2450</v>
      </c>
      <c r="AG8" s="196">
        <f t="shared" si="15"/>
        <v>2263362678178.8755</v>
      </c>
      <c r="AH8" s="196">
        <f t="shared" si="4"/>
        <v>0</v>
      </c>
      <c r="AI8" s="204">
        <f>AG8/'EmUSD - EmR$'!$C$8</f>
        <v>0.6858674782360229</v>
      </c>
      <c r="AJ8" s="204">
        <f>AH8/'EmUSD - EmR$'!$C$8</f>
        <v>0</v>
      </c>
      <c r="AL8" s="468">
        <v>3</v>
      </c>
      <c r="AM8" s="195" t="s">
        <v>22</v>
      </c>
      <c r="AN8" s="258">
        <v>1</v>
      </c>
      <c r="AO8" s="258">
        <v>0</v>
      </c>
      <c r="AP8" s="205">
        <f>'3 Vento'!J9</f>
        <v>3079405004.3250008</v>
      </c>
      <c r="AQ8" s="68" t="s">
        <v>437</v>
      </c>
      <c r="AR8" s="196">
        <v>2450</v>
      </c>
      <c r="AS8" s="196">
        <f t="shared" si="5"/>
        <v>7544542260596.252</v>
      </c>
      <c r="AT8" s="196">
        <f t="shared" si="6"/>
        <v>0</v>
      </c>
      <c r="AU8" s="204">
        <f>AS8/'EmUSD - EmR$'!$C$8</f>
        <v>2.2862249274534099</v>
      </c>
      <c r="AV8" s="204">
        <f>AT8/'EmUSD - EmR$'!$C$8</f>
        <v>0</v>
      </c>
      <c r="AX8" s="468">
        <v>3</v>
      </c>
      <c r="AY8" s="195" t="s">
        <v>22</v>
      </c>
      <c r="AZ8" s="258">
        <v>1</v>
      </c>
      <c r="BA8" s="258">
        <v>0</v>
      </c>
      <c r="BB8" s="205">
        <f>'3 Vento'!J11</f>
        <v>4927048006.920001</v>
      </c>
      <c r="BC8" s="68" t="s">
        <v>437</v>
      </c>
      <c r="BD8" s="196">
        <v>2450</v>
      </c>
      <c r="BE8" s="196">
        <f t="shared" si="7"/>
        <v>12071267616954.002</v>
      </c>
      <c r="BF8" s="196">
        <f t="shared" si="8"/>
        <v>0</v>
      </c>
      <c r="BG8" s="204">
        <f>BE8/'EmUSD - EmR$'!$C$8</f>
        <v>3.657959883925455</v>
      </c>
      <c r="BH8" s="204">
        <f>BF8/'EmUSD - EmR$'!$C$8</f>
        <v>0</v>
      </c>
      <c r="BJ8" s="468">
        <v>3</v>
      </c>
      <c r="BK8" s="195" t="s">
        <v>22</v>
      </c>
      <c r="BL8" s="258">
        <v>1</v>
      </c>
      <c r="BM8" s="258">
        <v>0</v>
      </c>
      <c r="BN8" s="205">
        <f>'3 Vento'!J13</f>
        <v>8622334012.1100025</v>
      </c>
      <c r="BO8" s="68" t="s">
        <v>437</v>
      </c>
      <c r="BP8" s="196">
        <v>2450</v>
      </c>
      <c r="BQ8" s="196">
        <f t="shared" si="9"/>
        <v>21124718329669.508</v>
      </c>
      <c r="BR8" s="196">
        <f t="shared" si="10"/>
        <v>0</v>
      </c>
      <c r="BS8" s="204">
        <f>BQ8/'EmUSD - EmR$'!$C$8</f>
        <v>6.4014297968695475</v>
      </c>
      <c r="BT8" s="204">
        <f>BR8/'EmUSD - EmR$'!$C$8</f>
        <v>0</v>
      </c>
      <c r="BV8" s="468">
        <v>3</v>
      </c>
      <c r="BW8" s="195" t="s">
        <v>22</v>
      </c>
      <c r="BX8" s="258">
        <v>1</v>
      </c>
      <c r="BY8" s="258">
        <v>0</v>
      </c>
      <c r="BZ8" s="205">
        <f>'3 Vento'!J15</f>
        <v>12317620017.300003</v>
      </c>
      <c r="CA8" s="68" t="s">
        <v>437</v>
      </c>
      <c r="CB8" s="196">
        <v>2450</v>
      </c>
      <c r="CC8" s="196">
        <f t="shared" si="11"/>
        <v>30178169042385.008</v>
      </c>
      <c r="CD8" s="196">
        <f t="shared" si="12"/>
        <v>0</v>
      </c>
      <c r="CE8" s="204">
        <f>CC8/'EmUSD - EmR$'!$C$8</f>
        <v>9.1448997098136395</v>
      </c>
      <c r="CF8" s="204">
        <f>CD8/'EmUSD - EmR$'!$C$8</f>
        <v>0</v>
      </c>
      <c r="CH8" s="468">
        <v>3</v>
      </c>
      <c r="CI8" s="195" t="s">
        <v>22</v>
      </c>
      <c r="CJ8" s="258">
        <v>1</v>
      </c>
      <c r="CK8" s="258">
        <v>0</v>
      </c>
      <c r="CL8" s="205">
        <f>'3 Vento'!J17</f>
        <v>16012906022.490004</v>
      </c>
      <c r="CM8" s="68" t="s">
        <v>437</v>
      </c>
      <c r="CN8" s="196">
        <v>2450</v>
      </c>
      <c r="CO8" s="196">
        <f t="shared" si="13"/>
        <v>39231619755100.508</v>
      </c>
      <c r="CP8" s="196">
        <f t="shared" si="14"/>
        <v>0</v>
      </c>
      <c r="CQ8" s="204">
        <f>CO8/'EmUSD - EmR$'!$C$8</f>
        <v>11.888369622757729</v>
      </c>
      <c r="CR8" s="204">
        <f>CP8/'EmUSD - EmR$'!$C$8</f>
        <v>0</v>
      </c>
    </row>
    <row r="9" spans="2:96" ht="15" customHeight="1" x14ac:dyDescent="0.25">
      <c r="B9" s="172">
        <v>4</v>
      </c>
      <c r="C9" s="207" t="s">
        <v>27</v>
      </c>
      <c r="D9" s="259">
        <v>1</v>
      </c>
      <c r="E9" s="259">
        <v>0</v>
      </c>
      <c r="F9" s="205">
        <f>'4 Soerguimento'!H5</f>
        <v>44912985274.431061</v>
      </c>
      <c r="G9" s="68" t="s">
        <v>437</v>
      </c>
      <c r="H9" s="196">
        <v>12000</v>
      </c>
      <c r="I9" s="196">
        <f t="shared" si="0"/>
        <v>538955823293172.75</v>
      </c>
      <c r="J9" s="196">
        <f t="shared" si="1"/>
        <v>0</v>
      </c>
      <c r="K9" s="204">
        <f>I9/'EmUSD - EmR$'!$C$8</f>
        <v>163.31994645247659</v>
      </c>
      <c r="L9" s="204">
        <f>J9/'EmUSD - EmR$'!$C$8</f>
        <v>0</v>
      </c>
      <c r="N9" s="236">
        <v>4</v>
      </c>
      <c r="O9" s="207" t="s">
        <v>27</v>
      </c>
      <c r="P9" s="259">
        <v>1</v>
      </c>
      <c r="Q9" s="259">
        <v>0</v>
      </c>
      <c r="R9" s="205">
        <f>'4 Soerguimento'!D5+F9</f>
        <v>89825970548.862122</v>
      </c>
      <c r="S9" s="68" t="s">
        <v>437</v>
      </c>
      <c r="T9" s="196">
        <v>12000</v>
      </c>
      <c r="U9" s="196">
        <f t="shared" si="2"/>
        <v>1077911646586345.5</v>
      </c>
      <c r="V9" s="196">
        <f t="shared" si="3"/>
        <v>0</v>
      </c>
      <c r="W9" s="204">
        <f>U9/'EmUSD - EmR$'!$C$8</f>
        <v>326.63989290495317</v>
      </c>
      <c r="X9" s="204">
        <f>V9/'EmUSD - EmR$'!$C$8</f>
        <v>0</v>
      </c>
      <c r="Z9" s="468">
        <v>4</v>
      </c>
      <c r="AA9" s="207" t="s">
        <v>27</v>
      </c>
      <c r="AB9" s="259">
        <v>1</v>
      </c>
      <c r="AC9" s="259">
        <v>0</v>
      </c>
      <c r="AD9" s="205">
        <f>'4 Soerguimento'!I5</f>
        <v>67369477911.646591</v>
      </c>
      <c r="AE9" s="68" t="s">
        <v>437</v>
      </c>
      <c r="AF9" s="196">
        <v>12000</v>
      </c>
      <c r="AG9" s="196">
        <f t="shared" si="15"/>
        <v>808433734939759.12</v>
      </c>
      <c r="AH9" s="196">
        <f t="shared" si="4"/>
        <v>0</v>
      </c>
      <c r="AI9" s="204">
        <f>AG9/'EmUSD - EmR$'!$C$8</f>
        <v>244.97991967871488</v>
      </c>
      <c r="AJ9" s="204">
        <f>AH9/'EmUSD - EmR$'!$C$8</f>
        <v>0</v>
      </c>
      <c r="AL9" s="468">
        <v>4</v>
      </c>
      <c r="AM9" s="207" t="s">
        <v>27</v>
      </c>
      <c r="AN9" s="259">
        <v>1</v>
      </c>
      <c r="AO9" s="259">
        <v>0</v>
      </c>
      <c r="AP9" s="205">
        <f>'4 Soerguimento'!I7</f>
        <v>224564926372.1553</v>
      </c>
      <c r="AQ9" s="68" t="s">
        <v>437</v>
      </c>
      <c r="AR9" s="196">
        <v>12000</v>
      </c>
      <c r="AS9" s="196">
        <f t="shared" si="5"/>
        <v>2694779116465863.5</v>
      </c>
      <c r="AT9" s="196">
        <f t="shared" si="6"/>
        <v>0</v>
      </c>
      <c r="AU9" s="204">
        <f>AS9/'EmUSD - EmR$'!$C$8</f>
        <v>816.59973226238287</v>
      </c>
      <c r="AV9" s="204">
        <f>AT9/'EmUSD - EmR$'!$C$8</f>
        <v>0</v>
      </c>
      <c r="AX9" s="468">
        <v>4</v>
      </c>
      <c r="AY9" s="207" t="s">
        <v>27</v>
      </c>
      <c r="AZ9" s="259">
        <v>1</v>
      </c>
      <c r="BA9" s="259">
        <v>0</v>
      </c>
      <c r="BB9" s="205">
        <f>'4 Soerguimento'!I9</f>
        <v>359303882195.44849</v>
      </c>
      <c r="BC9" s="68" t="s">
        <v>437</v>
      </c>
      <c r="BD9" s="196">
        <v>12000</v>
      </c>
      <c r="BE9" s="196">
        <f t="shared" si="7"/>
        <v>4311646586345382</v>
      </c>
      <c r="BF9" s="196">
        <f t="shared" si="8"/>
        <v>0</v>
      </c>
      <c r="BG9" s="204">
        <f>BE9/'EmUSD - EmR$'!$C$8</f>
        <v>1306.5595716198127</v>
      </c>
      <c r="BH9" s="204">
        <f>BF9/'EmUSD - EmR$'!$C$8</f>
        <v>0</v>
      </c>
      <c r="BJ9" s="468">
        <v>4</v>
      </c>
      <c r="BK9" s="207" t="s">
        <v>27</v>
      </c>
      <c r="BL9" s="259">
        <v>1</v>
      </c>
      <c r="BM9" s="259">
        <v>0</v>
      </c>
      <c r="BN9" s="205">
        <f>'4 Soerguimento'!I11</f>
        <v>628781793842.03491</v>
      </c>
      <c r="BO9" s="68" t="s">
        <v>437</v>
      </c>
      <c r="BP9" s="196">
        <v>12000</v>
      </c>
      <c r="BQ9" s="196">
        <f t="shared" si="9"/>
        <v>7545381526104419</v>
      </c>
      <c r="BR9" s="196">
        <f t="shared" si="10"/>
        <v>0</v>
      </c>
      <c r="BS9" s="204">
        <f>BQ9/'EmUSD - EmR$'!$C$8</f>
        <v>2286.4792503346725</v>
      </c>
      <c r="BT9" s="204">
        <f>BR9/'EmUSD - EmR$'!$C$8</f>
        <v>0</v>
      </c>
      <c r="BV9" s="468">
        <v>4</v>
      </c>
      <c r="BW9" s="207" t="s">
        <v>27</v>
      </c>
      <c r="BX9" s="259">
        <v>1</v>
      </c>
      <c r="BY9" s="259">
        <v>0</v>
      </c>
      <c r="BZ9" s="205">
        <f>'4 Soerguimento'!I13</f>
        <v>898259705488.62122</v>
      </c>
      <c r="CA9" s="68" t="s">
        <v>437</v>
      </c>
      <c r="CB9" s="196">
        <v>12000</v>
      </c>
      <c r="CC9" s="196">
        <f t="shared" si="11"/>
        <v>1.0779116465863454E+16</v>
      </c>
      <c r="CD9" s="196">
        <f t="shared" si="12"/>
        <v>0</v>
      </c>
      <c r="CE9" s="204">
        <f>CC9/'EmUSD - EmR$'!$C$8</f>
        <v>3266.3989290495315</v>
      </c>
      <c r="CF9" s="204">
        <f>CD9/'EmUSD - EmR$'!$C$8</f>
        <v>0</v>
      </c>
      <c r="CH9" s="468">
        <v>4</v>
      </c>
      <c r="CI9" s="207" t="s">
        <v>27</v>
      </c>
      <c r="CJ9" s="259">
        <v>1</v>
      </c>
      <c r="CK9" s="259">
        <v>0</v>
      </c>
      <c r="CL9" s="205">
        <f>'4 Soerguimento'!I15</f>
        <v>1167737617135.2075</v>
      </c>
      <c r="CM9" s="68" t="s">
        <v>437</v>
      </c>
      <c r="CN9" s="196">
        <v>12000</v>
      </c>
      <c r="CO9" s="196">
        <f t="shared" si="13"/>
        <v>1.401285140562249E+16</v>
      </c>
      <c r="CP9" s="196">
        <f t="shared" si="14"/>
        <v>0</v>
      </c>
      <c r="CQ9" s="204">
        <f>CO9/'EmUSD - EmR$'!$C$8</f>
        <v>4246.3186077643913</v>
      </c>
      <c r="CR9" s="204">
        <f>CP9/'EmUSD - EmR$'!$C$8</f>
        <v>0</v>
      </c>
    </row>
    <row r="10" spans="2:96" ht="15" customHeight="1" x14ac:dyDescent="0.25">
      <c r="B10" s="172">
        <v>5</v>
      </c>
      <c r="C10" s="195" t="s">
        <v>281</v>
      </c>
      <c r="D10" s="258">
        <v>1</v>
      </c>
      <c r="E10" s="258">
        <v>0</v>
      </c>
      <c r="F10" s="205"/>
      <c r="G10" s="68" t="s">
        <v>24</v>
      </c>
      <c r="H10" s="208">
        <v>240000</v>
      </c>
      <c r="I10" s="196">
        <f t="shared" si="0"/>
        <v>0</v>
      </c>
      <c r="J10" s="196">
        <f t="shared" si="1"/>
        <v>0</v>
      </c>
      <c r="K10" s="204">
        <f>I10/'EmUSD - EmR$'!$C$8</f>
        <v>0</v>
      </c>
      <c r="L10" s="204">
        <f>J10/'EmUSD - EmR$'!$C$8</f>
        <v>0</v>
      </c>
      <c r="N10" s="236">
        <v>5</v>
      </c>
      <c r="O10" s="195" t="s">
        <v>281</v>
      </c>
      <c r="P10" s="258">
        <v>1</v>
      </c>
      <c r="Q10" s="258">
        <v>0</v>
      </c>
      <c r="R10" s="205"/>
      <c r="S10" s="68" t="s">
        <v>24</v>
      </c>
      <c r="T10" s="208">
        <v>240000</v>
      </c>
      <c r="U10" s="196">
        <f t="shared" si="2"/>
        <v>0</v>
      </c>
      <c r="V10" s="196">
        <f t="shared" si="3"/>
        <v>0</v>
      </c>
      <c r="W10" s="204">
        <f>U10/'EmUSD - EmR$'!$C$8</f>
        <v>0</v>
      </c>
      <c r="X10" s="204">
        <f>V10/'EmUSD - EmR$'!$C$8</f>
        <v>0</v>
      </c>
      <c r="Z10" s="468">
        <v>5</v>
      </c>
      <c r="AA10" s="195" t="s">
        <v>281</v>
      </c>
      <c r="AB10" s="258">
        <v>1</v>
      </c>
      <c r="AC10" s="258">
        <v>0</v>
      </c>
      <c r="AD10" s="205"/>
      <c r="AE10" s="68" t="s">
        <v>24</v>
      </c>
      <c r="AF10" s="208">
        <v>240000</v>
      </c>
      <c r="AG10" s="196">
        <f t="shared" si="15"/>
        <v>0</v>
      </c>
      <c r="AH10" s="196">
        <f t="shared" si="4"/>
        <v>0</v>
      </c>
      <c r="AI10" s="204">
        <f>AG10/'EmUSD - EmR$'!$C$8</f>
        <v>0</v>
      </c>
      <c r="AJ10" s="204">
        <f>AH10/'EmUSD - EmR$'!$C$8</f>
        <v>0</v>
      </c>
      <c r="AL10" s="468">
        <v>5</v>
      </c>
      <c r="AM10" s="195" t="s">
        <v>281</v>
      </c>
      <c r="AN10" s="258">
        <v>1</v>
      </c>
      <c r="AO10" s="258">
        <v>0</v>
      </c>
      <c r="AP10" s="205"/>
      <c r="AQ10" s="68" t="s">
        <v>24</v>
      </c>
      <c r="AR10" s="208">
        <v>240000</v>
      </c>
      <c r="AS10" s="196">
        <f t="shared" si="5"/>
        <v>0</v>
      </c>
      <c r="AT10" s="196">
        <f t="shared" si="6"/>
        <v>0</v>
      </c>
      <c r="AU10" s="204">
        <f>AS10/'EmUSD - EmR$'!$C$8</f>
        <v>0</v>
      </c>
      <c r="AV10" s="204">
        <f>AT10/'EmUSD - EmR$'!$C$8</f>
        <v>0</v>
      </c>
      <c r="AX10" s="468">
        <v>5</v>
      </c>
      <c r="AY10" s="195" t="s">
        <v>281</v>
      </c>
      <c r="AZ10" s="258">
        <v>1</v>
      </c>
      <c r="BA10" s="258">
        <v>0</v>
      </c>
      <c r="BB10" s="205"/>
      <c r="BC10" s="68" t="s">
        <v>24</v>
      </c>
      <c r="BD10" s="208">
        <v>240000</v>
      </c>
      <c r="BE10" s="196">
        <f t="shared" si="7"/>
        <v>0</v>
      </c>
      <c r="BF10" s="196">
        <f t="shared" si="8"/>
        <v>0</v>
      </c>
      <c r="BG10" s="204">
        <f>BE10/'EmUSD - EmR$'!$C$8</f>
        <v>0</v>
      </c>
      <c r="BH10" s="204">
        <f>BF10/'EmUSD - EmR$'!$C$8</f>
        <v>0</v>
      </c>
      <c r="BJ10" s="468">
        <v>5</v>
      </c>
      <c r="BK10" s="195" t="s">
        <v>281</v>
      </c>
      <c r="BL10" s="258">
        <v>1</v>
      </c>
      <c r="BM10" s="258">
        <v>0</v>
      </c>
      <c r="BN10" s="205"/>
      <c r="BO10" s="68" t="s">
        <v>24</v>
      </c>
      <c r="BP10" s="208">
        <v>240000</v>
      </c>
      <c r="BQ10" s="196">
        <f t="shared" si="9"/>
        <v>0</v>
      </c>
      <c r="BR10" s="196">
        <f t="shared" si="10"/>
        <v>0</v>
      </c>
      <c r="BS10" s="204">
        <f>BQ10/'EmUSD - EmR$'!$C$8</f>
        <v>0</v>
      </c>
      <c r="BT10" s="204">
        <f>BR10/'EmUSD - EmR$'!$C$8</f>
        <v>0</v>
      </c>
      <c r="BV10" s="468">
        <v>5</v>
      </c>
      <c r="BW10" s="195" t="s">
        <v>281</v>
      </c>
      <c r="BX10" s="258">
        <v>1</v>
      </c>
      <c r="BY10" s="258">
        <v>0</v>
      </c>
      <c r="BZ10" s="205"/>
      <c r="CA10" s="68" t="s">
        <v>24</v>
      </c>
      <c r="CB10" s="208">
        <v>240000</v>
      </c>
      <c r="CC10" s="196">
        <f t="shared" si="11"/>
        <v>0</v>
      </c>
      <c r="CD10" s="196">
        <f t="shared" si="12"/>
        <v>0</v>
      </c>
      <c r="CE10" s="204">
        <f>CC10/'EmUSD - EmR$'!$C$8</f>
        <v>0</v>
      </c>
      <c r="CF10" s="204">
        <f>CD10/'EmUSD - EmR$'!$C$8</f>
        <v>0</v>
      </c>
      <c r="CH10" s="468">
        <v>5</v>
      </c>
      <c r="CI10" s="195" t="s">
        <v>281</v>
      </c>
      <c r="CJ10" s="258">
        <v>1</v>
      </c>
      <c r="CK10" s="258">
        <v>0</v>
      </c>
      <c r="CL10" s="205"/>
      <c r="CM10" s="68" t="s">
        <v>24</v>
      </c>
      <c r="CN10" s="208">
        <v>240000</v>
      </c>
      <c r="CO10" s="196">
        <f t="shared" si="13"/>
        <v>0</v>
      </c>
      <c r="CP10" s="196">
        <f t="shared" si="14"/>
        <v>0</v>
      </c>
      <c r="CQ10" s="204">
        <f>CO10/'EmUSD - EmR$'!$C$8</f>
        <v>0</v>
      </c>
      <c r="CR10" s="204">
        <f>CP10/'EmUSD - EmR$'!$C$8</f>
        <v>0</v>
      </c>
    </row>
    <row r="11" spans="2:96" ht="15" customHeight="1" x14ac:dyDescent="0.25">
      <c r="B11" s="172">
        <v>6</v>
      </c>
      <c r="C11" s="195" t="s">
        <v>282</v>
      </c>
      <c r="D11" s="258">
        <v>1</v>
      </c>
      <c r="E11" s="258">
        <v>0</v>
      </c>
      <c r="F11" s="205">
        <f>'6  CO2'!D28</f>
        <v>48477.219778129744</v>
      </c>
      <c r="G11" s="68" t="s">
        <v>24</v>
      </c>
      <c r="H11" s="208">
        <v>104000000000</v>
      </c>
      <c r="I11" s="196">
        <f t="shared" si="0"/>
        <v>5041630856925493</v>
      </c>
      <c r="J11" s="196">
        <f t="shared" si="1"/>
        <v>0</v>
      </c>
      <c r="K11" s="204">
        <f>I11/'EmUSD - EmR$'!$C$8</f>
        <v>1527.7669263410585</v>
      </c>
      <c r="L11" s="204">
        <f>J11/'EmUSD - EmR$'!$C$8</f>
        <v>0</v>
      </c>
      <c r="N11" s="236">
        <v>6</v>
      </c>
      <c r="O11" s="195" t="s">
        <v>282</v>
      </c>
      <c r="P11" s="258">
        <v>1</v>
      </c>
      <c r="Q11" s="258">
        <v>0</v>
      </c>
      <c r="R11" s="205">
        <f>'6  CO2'!D28+F11</f>
        <v>96954.439556259487</v>
      </c>
      <c r="S11" s="68" t="s">
        <v>24</v>
      </c>
      <c r="T11" s="208">
        <v>104000000000</v>
      </c>
      <c r="U11" s="196">
        <f t="shared" si="2"/>
        <v>1.0083261713850986E+16</v>
      </c>
      <c r="V11" s="196">
        <f t="shared" si="3"/>
        <v>0</v>
      </c>
      <c r="W11" s="204">
        <f>U11/'EmUSD - EmR$'!$C$8</f>
        <v>3055.533852682117</v>
      </c>
      <c r="X11" s="204">
        <f>V11/'EmUSD - EmR$'!$C$8</f>
        <v>0</v>
      </c>
      <c r="Z11" s="468">
        <v>6</v>
      </c>
      <c r="AA11" s="195" t="s">
        <v>282</v>
      </c>
      <c r="AB11" s="258">
        <v>1</v>
      </c>
      <c r="AC11" s="258">
        <v>0</v>
      </c>
      <c r="AD11" s="205">
        <f>'6  CO2'!E28</f>
        <v>66820.646147299864</v>
      </c>
      <c r="AE11" s="68" t="s">
        <v>24</v>
      </c>
      <c r="AF11" s="208">
        <v>104000000000</v>
      </c>
      <c r="AG11" s="196">
        <f t="shared" si="15"/>
        <v>6949347199319186</v>
      </c>
      <c r="AH11" s="196">
        <f t="shared" si="4"/>
        <v>0</v>
      </c>
      <c r="AI11" s="204">
        <f>AG11/'EmUSD - EmR$'!$C$8</f>
        <v>2105.8627876724804</v>
      </c>
      <c r="AJ11" s="204">
        <f>AH11/'EmUSD - EmR$'!$C$8</f>
        <v>0</v>
      </c>
      <c r="AL11" s="468">
        <v>6</v>
      </c>
      <c r="AM11" s="195" t="s">
        <v>282</v>
      </c>
      <c r="AN11" s="258">
        <v>1</v>
      </c>
      <c r="AO11" s="258">
        <v>0</v>
      </c>
      <c r="AP11" s="205">
        <f>'6  CO2'!E30</f>
        <v>72782.626148105614</v>
      </c>
      <c r="AQ11" s="68" t="s">
        <v>24</v>
      </c>
      <c r="AR11" s="208">
        <v>104000000000</v>
      </c>
      <c r="AS11" s="196">
        <f t="shared" si="5"/>
        <v>7569393119402984</v>
      </c>
      <c r="AT11" s="196">
        <f t="shared" si="6"/>
        <v>0</v>
      </c>
      <c r="AU11" s="204">
        <f>AS11/'EmUSD - EmR$'!$C$8</f>
        <v>2293.7554907281769</v>
      </c>
      <c r="AV11" s="204">
        <f>AT11/'EmUSD - EmR$'!$C$8</f>
        <v>0</v>
      </c>
      <c r="AX11" s="468">
        <v>6</v>
      </c>
      <c r="AY11" s="195" t="s">
        <v>282</v>
      </c>
      <c r="AZ11" s="258">
        <v>1</v>
      </c>
      <c r="BA11" s="258">
        <v>0</v>
      </c>
      <c r="BB11" s="205">
        <f>'6  CO2'!E32</f>
        <v>56872.061359415718</v>
      </c>
      <c r="BC11" s="68" t="s">
        <v>24</v>
      </c>
      <c r="BD11" s="208">
        <v>104000000000</v>
      </c>
      <c r="BE11" s="196">
        <f t="shared" si="7"/>
        <v>5914694381379235</v>
      </c>
      <c r="BF11" s="196">
        <f t="shared" si="8"/>
        <v>0</v>
      </c>
      <c r="BG11" s="204">
        <f>BE11/'EmUSD - EmR$'!$C$8</f>
        <v>1792.3316307209802</v>
      </c>
      <c r="BH11" s="204">
        <f>BF11/'EmUSD - EmR$'!$C$8</f>
        <v>0</v>
      </c>
      <c r="BJ11" s="468">
        <v>6</v>
      </c>
      <c r="BK11" s="195" t="s">
        <v>282</v>
      </c>
      <c r="BL11" s="258">
        <v>1</v>
      </c>
      <c r="BM11" s="258">
        <v>0</v>
      </c>
      <c r="BN11" s="205">
        <f>'6  CO2'!E34</f>
        <v>116453.84174751812</v>
      </c>
      <c r="BO11" s="68" t="s">
        <v>24</v>
      </c>
      <c r="BP11" s="208">
        <v>104000000000</v>
      </c>
      <c r="BQ11" s="196">
        <f t="shared" si="9"/>
        <v>1.2111199541741884E+16</v>
      </c>
      <c r="BR11" s="196">
        <f t="shared" si="10"/>
        <v>0</v>
      </c>
      <c r="BS11" s="204">
        <f>BQ11/'EmUSD - EmR$'!$C$8</f>
        <v>3670.0604671945102</v>
      </c>
      <c r="BT11" s="204">
        <f>BR11/'EmUSD - EmR$'!$C$8</f>
        <v>0</v>
      </c>
      <c r="BV11" s="468">
        <v>6</v>
      </c>
      <c r="BW11" s="195" t="s">
        <v>282</v>
      </c>
      <c r="BX11" s="258">
        <v>1</v>
      </c>
      <c r="BY11" s="258">
        <v>0</v>
      </c>
      <c r="BZ11" s="205">
        <f>'6  CO2'!E36</f>
        <v>199831.23102781852</v>
      </c>
      <c r="CA11" s="68" t="s">
        <v>24</v>
      </c>
      <c r="CB11" s="208">
        <v>104000000000</v>
      </c>
      <c r="CC11" s="196">
        <f t="shared" si="11"/>
        <v>2.0782448026893124E+16</v>
      </c>
      <c r="CD11" s="196">
        <f t="shared" si="12"/>
        <v>0</v>
      </c>
      <c r="CE11" s="204">
        <f>CC11/'EmUSD - EmR$'!$C$8</f>
        <v>6297.7115233009463</v>
      </c>
      <c r="CF11" s="204">
        <f>CD11/'EmUSD - EmR$'!$C$8</f>
        <v>0</v>
      </c>
      <c r="CH11" s="468">
        <v>6</v>
      </c>
      <c r="CI11" s="195" t="s">
        <v>282</v>
      </c>
      <c r="CJ11" s="258">
        <v>1</v>
      </c>
      <c r="CK11" s="258">
        <v>0</v>
      </c>
      <c r="CL11" s="205">
        <f>'6  CO2'!E38</f>
        <v>202609.25572819699</v>
      </c>
      <c r="CM11" s="68" t="s">
        <v>24</v>
      </c>
      <c r="CN11" s="208">
        <v>104000000000</v>
      </c>
      <c r="CO11" s="196">
        <f t="shared" si="13"/>
        <v>2.1071362595732488E+16</v>
      </c>
      <c r="CP11" s="196">
        <f t="shared" si="14"/>
        <v>0</v>
      </c>
      <c r="CQ11" s="204">
        <f>CO11/'EmUSD - EmR$'!$C$8</f>
        <v>6385.2613926462082</v>
      </c>
      <c r="CR11" s="204">
        <f>CP11/'EmUSD - EmR$'!$C$8</f>
        <v>0</v>
      </c>
    </row>
    <row r="12" spans="2:96" ht="15" customHeight="1" x14ac:dyDescent="0.25">
      <c r="B12" s="172">
        <v>7</v>
      </c>
      <c r="C12" s="195" t="s">
        <v>283</v>
      </c>
      <c r="D12" s="258">
        <v>1</v>
      </c>
      <c r="E12" s="258">
        <v>0</v>
      </c>
      <c r="F12" s="205">
        <f>'7 CH4'!F7</f>
        <v>13.965234796278375</v>
      </c>
      <c r="G12" s="68" t="s">
        <v>24</v>
      </c>
      <c r="H12" s="208">
        <v>43500</v>
      </c>
      <c r="I12" s="196">
        <f t="shared" si="0"/>
        <v>607487.71363810927</v>
      </c>
      <c r="J12" s="196">
        <f t="shared" si="1"/>
        <v>0</v>
      </c>
      <c r="K12" s="204">
        <f>I12/'EmUSD - EmR$'!$C$8</f>
        <v>1.8408718595094219E-7</v>
      </c>
      <c r="L12" s="204">
        <f>J12/'EmUSD - EmR$'!$C$8</f>
        <v>0</v>
      </c>
      <c r="N12" s="236">
        <v>7</v>
      </c>
      <c r="O12" s="195" t="s">
        <v>283</v>
      </c>
      <c r="P12" s="258">
        <v>1</v>
      </c>
      <c r="Q12" s="258">
        <v>0</v>
      </c>
      <c r="R12" s="205">
        <f>'7 CH4'!F7+F12</f>
        <v>27.930469592556751</v>
      </c>
      <c r="S12" s="68" t="s">
        <v>24</v>
      </c>
      <c r="T12" s="208">
        <v>43500</v>
      </c>
      <c r="U12" s="196">
        <f t="shared" si="2"/>
        <v>1214975.4272762185</v>
      </c>
      <c r="V12" s="196">
        <f t="shared" si="3"/>
        <v>0</v>
      </c>
      <c r="W12" s="204">
        <f>U12/'EmUSD - EmR$'!$C$8</f>
        <v>3.6817437190188439E-7</v>
      </c>
      <c r="X12" s="204">
        <f>V12/'EmUSD - EmR$'!$C$8</f>
        <v>0</v>
      </c>
      <c r="Z12" s="468">
        <v>7</v>
      </c>
      <c r="AA12" s="195" t="s">
        <v>283</v>
      </c>
      <c r="AB12" s="258">
        <v>1</v>
      </c>
      <c r="AC12" s="258">
        <v>0</v>
      </c>
      <c r="AD12" s="205">
        <f>'7 CH4'!G7</f>
        <v>55678.460117108756</v>
      </c>
      <c r="AE12" s="68" t="s">
        <v>24</v>
      </c>
      <c r="AF12" s="208">
        <v>43500</v>
      </c>
      <c r="AG12" s="196">
        <f t="shared" si="15"/>
        <v>2422013015.0942307</v>
      </c>
      <c r="AH12" s="196">
        <f t="shared" si="4"/>
        <v>0</v>
      </c>
      <c r="AI12" s="204">
        <f>AG12/'EmUSD - EmR$'!$C$8</f>
        <v>7.3394333790734265E-4</v>
      </c>
      <c r="AJ12" s="204">
        <f>AH12/'EmUSD - EmR$'!$C$8</f>
        <v>0</v>
      </c>
      <c r="AL12" s="468">
        <v>7</v>
      </c>
      <c r="AM12" s="195" t="s">
        <v>283</v>
      </c>
      <c r="AN12" s="258">
        <v>1</v>
      </c>
      <c r="AO12" s="258">
        <v>0</v>
      </c>
      <c r="AP12" s="205">
        <f>'7 CH4'!G9</f>
        <v>260181.25212873466</v>
      </c>
      <c r="AQ12" s="68" t="s">
        <v>24</v>
      </c>
      <c r="AR12" s="208">
        <v>43500</v>
      </c>
      <c r="AS12" s="196">
        <f t="shared" si="5"/>
        <v>11317884467.599958</v>
      </c>
      <c r="AT12" s="196">
        <f t="shared" si="6"/>
        <v>0</v>
      </c>
      <c r="AU12" s="204">
        <f>AS12/'EmUSD - EmR$'!$C$8</f>
        <v>3.4296619598787751E-3</v>
      </c>
      <c r="AV12" s="204">
        <f>AT12/'EmUSD - EmR$'!$C$8</f>
        <v>0</v>
      </c>
      <c r="AX12" s="468">
        <v>7</v>
      </c>
      <c r="AY12" s="195" t="s">
        <v>283</v>
      </c>
      <c r="AZ12" s="258">
        <v>1</v>
      </c>
      <c r="BA12" s="258">
        <v>0</v>
      </c>
      <c r="BB12" s="205">
        <f>'7 CH4'!G11</f>
        <v>208808.8363632932</v>
      </c>
      <c r="BC12" s="68" t="s">
        <v>24</v>
      </c>
      <c r="BD12" s="208">
        <v>43500</v>
      </c>
      <c r="BE12" s="196">
        <f t="shared" si="7"/>
        <v>9083184381.8032551</v>
      </c>
      <c r="BF12" s="196">
        <f t="shared" si="8"/>
        <v>0</v>
      </c>
      <c r="BG12" s="204">
        <f>BE12/'EmUSD - EmR$'!$C$8</f>
        <v>2.7524801156979563E-3</v>
      </c>
      <c r="BH12" s="204">
        <f>BF12/'EmUSD - EmR$'!$C$8</f>
        <v>0</v>
      </c>
      <c r="BJ12" s="468">
        <v>7</v>
      </c>
      <c r="BK12" s="195" t="s">
        <v>283</v>
      </c>
      <c r="BL12" s="258">
        <v>1</v>
      </c>
      <c r="BM12" s="258">
        <v>0</v>
      </c>
      <c r="BN12" s="205">
        <f>'7 CH4'!G13</f>
        <v>417930.18376682297</v>
      </c>
      <c r="BO12" s="68" t="s">
        <v>24</v>
      </c>
      <c r="BP12" s="208">
        <v>43500</v>
      </c>
      <c r="BQ12" s="196">
        <f t="shared" si="9"/>
        <v>18179962993.8568</v>
      </c>
      <c r="BR12" s="196">
        <f t="shared" si="10"/>
        <v>0</v>
      </c>
      <c r="BS12" s="204">
        <f>BQ12/'EmUSD - EmR$'!$C$8</f>
        <v>5.5090796951081213E-3</v>
      </c>
      <c r="BT12" s="204">
        <f>BR12/'EmUSD - EmR$'!$C$8</f>
        <v>0</v>
      </c>
      <c r="BV12" s="468">
        <v>7</v>
      </c>
      <c r="BW12" s="195" t="s">
        <v>283</v>
      </c>
      <c r="BX12" s="258">
        <v>1</v>
      </c>
      <c r="BY12" s="258">
        <v>0</v>
      </c>
      <c r="BZ12" s="205">
        <f>'7 CH4'!G15</f>
        <v>409055.3366005554</v>
      </c>
      <c r="CA12" s="68" t="s">
        <v>24</v>
      </c>
      <c r="CB12" s="208">
        <v>43500</v>
      </c>
      <c r="CC12" s="196">
        <f t="shared" si="11"/>
        <v>17793907142.124161</v>
      </c>
      <c r="CD12" s="196">
        <f t="shared" si="12"/>
        <v>0</v>
      </c>
      <c r="CE12" s="204">
        <f>CC12/'EmUSD - EmR$'!$C$8</f>
        <v>5.3920930733709575E-3</v>
      </c>
      <c r="CF12" s="204">
        <f>CD12/'EmUSD - EmR$'!$C$8</f>
        <v>0</v>
      </c>
      <c r="CH12" s="468">
        <v>7</v>
      </c>
      <c r="CI12" s="195" t="s">
        <v>283</v>
      </c>
      <c r="CJ12" s="258">
        <v>1</v>
      </c>
      <c r="CK12" s="258">
        <v>0</v>
      </c>
      <c r="CL12" s="205">
        <f>'7 CH4'!G17</f>
        <v>479125.54934709589</v>
      </c>
      <c r="CM12" s="68" t="s">
        <v>24</v>
      </c>
      <c r="CN12" s="208">
        <v>43500</v>
      </c>
      <c r="CO12" s="196">
        <f t="shared" si="13"/>
        <v>20841961396.598671</v>
      </c>
      <c r="CP12" s="196">
        <f t="shared" si="14"/>
        <v>0</v>
      </c>
      <c r="CQ12" s="204">
        <f>CO12/'EmUSD - EmR$'!$C$8</f>
        <v>6.3157458777571727E-3</v>
      </c>
      <c r="CR12" s="204">
        <f>CP12/'EmUSD - EmR$'!$C$8</f>
        <v>0</v>
      </c>
    </row>
    <row r="13" spans="2:96" ht="15" customHeight="1" x14ac:dyDescent="0.25">
      <c r="B13" s="172">
        <v>8</v>
      </c>
      <c r="C13" s="68" t="s">
        <v>284</v>
      </c>
      <c r="D13" s="258">
        <v>1</v>
      </c>
      <c r="E13" s="258">
        <v>0</v>
      </c>
      <c r="F13" s="205">
        <f>'8  N2'!E6/1.5</f>
        <v>59.804000000000002</v>
      </c>
      <c r="G13" s="68" t="s">
        <v>24</v>
      </c>
      <c r="H13" s="196">
        <v>4600000000000</v>
      </c>
      <c r="I13" s="196">
        <f t="shared" si="0"/>
        <v>275098400000000</v>
      </c>
      <c r="J13" s="196">
        <f t="shared" si="1"/>
        <v>0</v>
      </c>
      <c r="K13" s="204">
        <f>I13/'EmUSD - EmR$'!$C$8</f>
        <v>83.363151515151515</v>
      </c>
      <c r="L13" s="204">
        <f>J13/'EmUSD - EmR$'!$C$8</f>
        <v>0</v>
      </c>
      <c r="N13" s="236">
        <v>8</v>
      </c>
      <c r="O13" s="68" t="s">
        <v>284</v>
      </c>
      <c r="P13" s="258">
        <v>1</v>
      </c>
      <c r="Q13" s="258">
        <v>0</v>
      </c>
      <c r="R13" s="205">
        <f>'8  N2'!O6*2/1.5</f>
        <v>181.20611999999997</v>
      </c>
      <c r="S13" s="68" t="s">
        <v>24</v>
      </c>
      <c r="T13" s="196">
        <v>4600000000000</v>
      </c>
      <c r="U13" s="196">
        <f t="shared" si="2"/>
        <v>833548151999999.87</v>
      </c>
      <c r="V13" s="196">
        <f t="shared" si="3"/>
        <v>0</v>
      </c>
      <c r="W13" s="204">
        <f>U13/'EmUSD - EmR$'!$C$8</f>
        <v>252.59034909090906</v>
      </c>
      <c r="X13" s="204">
        <f>V13/'EmUSD - EmR$'!$C$8</f>
        <v>0</v>
      </c>
      <c r="Z13" s="468">
        <v>8</v>
      </c>
      <c r="AA13" s="68" t="s">
        <v>284</v>
      </c>
      <c r="AB13" s="258">
        <v>1</v>
      </c>
      <c r="AC13" s="258">
        <v>0</v>
      </c>
      <c r="AD13" s="205">
        <f>'8  N2'!O6</f>
        <v>135.90458999999998</v>
      </c>
      <c r="AE13" s="68" t="s">
        <v>24</v>
      </c>
      <c r="AF13" s="196">
        <v>4600000000000</v>
      </c>
      <c r="AG13" s="196">
        <f t="shared" si="15"/>
        <v>625161113999999.87</v>
      </c>
      <c r="AH13" s="196">
        <f t="shared" si="4"/>
        <v>0</v>
      </c>
      <c r="AI13" s="204">
        <f>AG13/'EmUSD - EmR$'!$C$8</f>
        <v>189.44276181818179</v>
      </c>
      <c r="AJ13" s="204">
        <f>AH13/'EmUSD - EmR$'!$C$8</f>
        <v>0</v>
      </c>
      <c r="AL13" s="468">
        <v>8</v>
      </c>
      <c r="AM13" s="68" t="s">
        <v>284</v>
      </c>
      <c r="AN13" s="258">
        <v>1</v>
      </c>
      <c r="AO13" s="258">
        <v>0</v>
      </c>
      <c r="AP13" s="205">
        <f>'8  N2'!O8</f>
        <v>783.42467999999985</v>
      </c>
      <c r="AQ13" s="68" t="s">
        <v>24</v>
      </c>
      <c r="AR13" s="196">
        <v>4600000000000</v>
      </c>
      <c r="AS13" s="196">
        <f t="shared" si="5"/>
        <v>3603753527999999.5</v>
      </c>
      <c r="AT13" s="196">
        <f t="shared" si="6"/>
        <v>0</v>
      </c>
      <c r="AU13" s="204">
        <f>AS13/'EmUSD - EmR$'!$C$8</f>
        <v>1092.0465236363634</v>
      </c>
      <c r="AV13" s="204">
        <f>AT13/'EmUSD - EmR$'!$C$8</f>
        <v>0</v>
      </c>
      <c r="AX13" s="468">
        <v>8</v>
      </c>
      <c r="AY13" s="68" t="s">
        <v>284</v>
      </c>
      <c r="AZ13" s="258">
        <v>1</v>
      </c>
      <c r="BA13" s="258">
        <v>0</v>
      </c>
      <c r="BB13" s="205">
        <f>'8  N2'!O10</f>
        <v>1216.510256</v>
      </c>
      <c r="BC13" s="68" t="s">
        <v>24</v>
      </c>
      <c r="BD13" s="196">
        <v>4600000000000</v>
      </c>
      <c r="BE13" s="196">
        <f t="shared" si="7"/>
        <v>5595947177600000</v>
      </c>
      <c r="BF13" s="196">
        <f t="shared" si="8"/>
        <v>0</v>
      </c>
      <c r="BG13" s="204">
        <f>BE13/'EmUSD - EmR$'!$C$8</f>
        <v>1695.741568969697</v>
      </c>
      <c r="BH13" s="204">
        <f>BF13/'EmUSD - EmR$'!$C$8</f>
        <v>0</v>
      </c>
      <c r="BJ13" s="468">
        <v>8</v>
      </c>
      <c r="BK13" s="68" t="s">
        <v>284</v>
      </c>
      <c r="BL13" s="258">
        <v>1</v>
      </c>
      <c r="BM13" s="258">
        <v>0</v>
      </c>
      <c r="BN13" s="205">
        <f>'8  N2'!O12</f>
        <v>2780.1558960000002</v>
      </c>
      <c r="BO13" s="68" t="s">
        <v>24</v>
      </c>
      <c r="BP13" s="196">
        <v>4600000000000</v>
      </c>
      <c r="BQ13" s="196">
        <f t="shared" si="9"/>
        <v>1.27887171216E+16</v>
      </c>
      <c r="BR13" s="196">
        <f t="shared" si="10"/>
        <v>0</v>
      </c>
      <c r="BS13" s="204">
        <f>BQ13/'EmUSD - EmR$'!$C$8</f>
        <v>3875.3688247272726</v>
      </c>
      <c r="BT13" s="204">
        <f>BR13/'EmUSD - EmR$'!$C$8</f>
        <v>0</v>
      </c>
      <c r="BV13" s="468">
        <v>8</v>
      </c>
      <c r="BW13" s="68" t="s">
        <v>284</v>
      </c>
      <c r="BX13" s="258">
        <v>1</v>
      </c>
      <c r="BY13" s="258">
        <v>0</v>
      </c>
      <c r="BZ13" s="205">
        <f>'8  N2'!O14</f>
        <v>4693.2774266666656</v>
      </c>
      <c r="CA13" s="68" t="s">
        <v>24</v>
      </c>
      <c r="CB13" s="196">
        <v>4600000000000</v>
      </c>
      <c r="CC13" s="196">
        <f t="shared" si="11"/>
        <v>2.158907616266666E+16</v>
      </c>
      <c r="CD13" s="196">
        <f t="shared" si="12"/>
        <v>0</v>
      </c>
      <c r="CE13" s="204">
        <f>CC13/'EmUSD - EmR$'!$C$8</f>
        <v>6542.1442917171698</v>
      </c>
      <c r="CF13" s="204">
        <f>CD13/'EmUSD - EmR$'!$C$8</f>
        <v>0</v>
      </c>
      <c r="CH13" s="468">
        <v>8</v>
      </c>
      <c r="CI13" s="68" t="s">
        <v>284</v>
      </c>
      <c r="CJ13" s="258">
        <v>1</v>
      </c>
      <c r="CK13" s="258">
        <v>0</v>
      </c>
      <c r="CL13" s="205">
        <f>'8  N2'!O16</f>
        <v>7985.2423386666687</v>
      </c>
      <c r="CM13" s="68" t="s">
        <v>24</v>
      </c>
      <c r="CN13" s="196">
        <v>4600000000000</v>
      </c>
      <c r="CO13" s="196">
        <f t="shared" si="13"/>
        <v>3.673211475786668E+16</v>
      </c>
      <c r="CP13" s="196">
        <f t="shared" si="14"/>
        <v>0</v>
      </c>
      <c r="CQ13" s="204">
        <f>CO13/'EmUSD - EmR$'!$C$8</f>
        <v>11130.943866020207</v>
      </c>
      <c r="CR13" s="204">
        <f>CP13/'EmUSD - EmR$'!$C$8</f>
        <v>0</v>
      </c>
    </row>
    <row r="14" spans="2:96" ht="15" customHeight="1" x14ac:dyDescent="0.25">
      <c r="B14" s="172">
        <v>9</v>
      </c>
      <c r="C14" s="195" t="s">
        <v>285</v>
      </c>
      <c r="D14" s="258">
        <v>1</v>
      </c>
      <c r="E14" s="258">
        <v>0</v>
      </c>
      <c r="F14" s="205">
        <f>'9 -18 Nutrientes solo prof.'!F7</f>
        <v>5.0634053333333331E-2</v>
      </c>
      <c r="G14" s="68" t="s">
        <v>24</v>
      </c>
      <c r="H14" s="196">
        <v>17800000000000</v>
      </c>
      <c r="I14" s="196">
        <f t="shared" si="0"/>
        <v>901286149333.33325</v>
      </c>
      <c r="J14" s="196">
        <f t="shared" si="1"/>
        <v>0</v>
      </c>
      <c r="K14" s="204">
        <f>I14/'EmUSD - EmR$'!$C$8</f>
        <v>0.27311701494949492</v>
      </c>
      <c r="L14" s="204">
        <f>J14/'EmUSD - EmR$'!$C$8</f>
        <v>0</v>
      </c>
      <c r="N14" s="236">
        <v>9</v>
      </c>
      <c r="O14" s="195" t="s">
        <v>285</v>
      </c>
      <c r="P14" s="258">
        <v>1</v>
      </c>
      <c r="Q14" s="258">
        <v>0</v>
      </c>
      <c r="R14" s="205">
        <f>'9 -18 Nutrientes solo prof.'!F7+F14</f>
        <v>0.10126810666666666</v>
      </c>
      <c r="S14" s="68" t="s">
        <v>24</v>
      </c>
      <c r="T14" s="196">
        <v>17800000000000</v>
      </c>
      <c r="U14" s="196">
        <f t="shared" si="2"/>
        <v>1802572298666.6665</v>
      </c>
      <c r="V14" s="196">
        <f t="shared" si="3"/>
        <v>0</v>
      </c>
      <c r="W14" s="204">
        <f>U14/'EmUSD - EmR$'!$C$8</f>
        <v>0.54623402989898984</v>
      </c>
      <c r="X14" s="204">
        <f>V14/'EmUSD - EmR$'!$C$8</f>
        <v>0</v>
      </c>
      <c r="Z14" s="468">
        <v>9</v>
      </c>
      <c r="AA14" s="195" t="s">
        <v>285</v>
      </c>
      <c r="AB14" s="258">
        <v>1</v>
      </c>
      <c r="AC14" s="258">
        <v>0</v>
      </c>
      <c r="AD14" s="205">
        <f>'9 -18 Nutrientes solo prof.'!F26</f>
        <v>7.5951080000000004E-2</v>
      </c>
      <c r="AE14" s="68" t="s">
        <v>24</v>
      </c>
      <c r="AF14" s="196">
        <v>17800000000000</v>
      </c>
      <c r="AG14" s="196">
        <f t="shared" si="15"/>
        <v>1351929224000</v>
      </c>
      <c r="AH14" s="196">
        <f t="shared" si="4"/>
        <v>0</v>
      </c>
      <c r="AI14" s="204">
        <f>AG14/'EmUSD - EmR$'!$C$8</f>
        <v>0.40967552242424243</v>
      </c>
      <c r="AJ14" s="204">
        <f>AH14/'EmUSD - EmR$'!$C$8</f>
        <v>0</v>
      </c>
      <c r="AL14" s="468">
        <v>9</v>
      </c>
      <c r="AM14" s="195" t="s">
        <v>285</v>
      </c>
      <c r="AN14" s="258">
        <v>1</v>
      </c>
      <c r="AO14" s="258">
        <v>0</v>
      </c>
      <c r="AP14" s="205">
        <f>'9 -18 Nutrientes solo prof.'!F28</f>
        <v>0.34905059999999999</v>
      </c>
      <c r="AQ14" s="68" t="s">
        <v>24</v>
      </c>
      <c r="AR14" s="196">
        <v>17800000000000</v>
      </c>
      <c r="AS14" s="196">
        <f t="shared" si="5"/>
        <v>6213100680000</v>
      </c>
      <c r="AT14" s="196">
        <f t="shared" si="6"/>
        <v>0</v>
      </c>
      <c r="AU14" s="204">
        <f>AS14/'EmUSD - EmR$'!$C$8</f>
        <v>1.8827577818181818</v>
      </c>
      <c r="AV14" s="204">
        <f>AT14/'EmUSD - EmR$'!$C$8</f>
        <v>0</v>
      </c>
      <c r="AX14" s="468">
        <v>9</v>
      </c>
      <c r="AY14" s="195" t="s">
        <v>285</v>
      </c>
      <c r="AZ14" s="258">
        <v>1</v>
      </c>
      <c r="BA14" s="258">
        <v>0</v>
      </c>
      <c r="BB14" s="205">
        <f>'9 -18 Nutrientes solo prof.'!F30</f>
        <v>0.3891350400000001</v>
      </c>
      <c r="BC14" s="68" t="s">
        <v>24</v>
      </c>
      <c r="BD14" s="196">
        <v>17800000000000</v>
      </c>
      <c r="BE14" s="196">
        <f t="shared" si="7"/>
        <v>6926603712000.002</v>
      </c>
      <c r="BF14" s="196">
        <f t="shared" si="8"/>
        <v>0</v>
      </c>
      <c r="BG14" s="204">
        <f>BE14/'EmUSD - EmR$'!$C$8</f>
        <v>2.0989708218181824</v>
      </c>
      <c r="BH14" s="204">
        <f>BF14/'EmUSD - EmR$'!$C$8</f>
        <v>0</v>
      </c>
      <c r="BJ14" s="468">
        <v>9</v>
      </c>
      <c r="BK14" s="195" t="s">
        <v>285</v>
      </c>
      <c r="BL14" s="258">
        <v>1</v>
      </c>
      <c r="BM14" s="258">
        <v>0</v>
      </c>
      <c r="BN14" s="205">
        <f>'9 -18 Nutrientes solo prof.'!F32</f>
        <v>0.68815740000000014</v>
      </c>
      <c r="BO14" s="68" t="s">
        <v>24</v>
      </c>
      <c r="BP14" s="196">
        <v>17800000000000</v>
      </c>
      <c r="BQ14" s="196">
        <f t="shared" si="9"/>
        <v>12249201720000.002</v>
      </c>
      <c r="BR14" s="196">
        <f t="shared" si="10"/>
        <v>0</v>
      </c>
      <c r="BS14" s="204">
        <f>BQ14/'EmUSD - EmR$'!$C$8</f>
        <v>3.7118793090909095</v>
      </c>
      <c r="BT14" s="204">
        <f>BR14/'EmUSD - EmR$'!$C$8</f>
        <v>0</v>
      </c>
      <c r="BV14" s="468">
        <v>9</v>
      </c>
      <c r="BW14" s="195" t="s">
        <v>285</v>
      </c>
      <c r="BX14" s="258">
        <v>1</v>
      </c>
      <c r="BY14" s="258">
        <v>0</v>
      </c>
      <c r="BZ14" s="205">
        <f>'9 -18 Nutrientes solo prof.'!F34</f>
        <v>1.6209799999999999</v>
      </c>
      <c r="CA14" s="68" t="s">
        <v>24</v>
      </c>
      <c r="CB14" s="196">
        <v>17800000000000</v>
      </c>
      <c r="CC14" s="196">
        <f t="shared" si="11"/>
        <v>28853443999999.996</v>
      </c>
      <c r="CD14" s="196">
        <f t="shared" si="12"/>
        <v>0</v>
      </c>
      <c r="CE14" s="204">
        <f>CC14/'EmUSD - EmR$'!$C$8</f>
        <v>8.743467878787877</v>
      </c>
      <c r="CF14" s="204">
        <f>CD14/'EmUSD - EmR$'!$C$8</f>
        <v>0</v>
      </c>
      <c r="CH14" s="468">
        <v>9</v>
      </c>
      <c r="CI14" s="195" t="s">
        <v>285</v>
      </c>
      <c r="CJ14" s="258">
        <v>1</v>
      </c>
      <c r="CK14" s="258">
        <v>0</v>
      </c>
      <c r="CL14" s="205">
        <f>'9 -18 Nutrientes solo prof.'!F36</f>
        <v>2.584712866666667</v>
      </c>
      <c r="CM14" s="68" t="s">
        <v>24</v>
      </c>
      <c r="CN14" s="196">
        <v>17800000000000</v>
      </c>
      <c r="CO14" s="196">
        <f t="shared" si="13"/>
        <v>46007889026666.672</v>
      </c>
      <c r="CP14" s="196">
        <f t="shared" si="14"/>
        <v>0</v>
      </c>
      <c r="CQ14" s="204">
        <f>CO14/'EmUSD - EmR$'!$C$8</f>
        <v>13.941784553535355</v>
      </c>
      <c r="CR14" s="204">
        <f>CP14/'EmUSD - EmR$'!$C$8</f>
        <v>0</v>
      </c>
    </row>
    <row r="15" spans="2:96" ht="15" customHeight="1" x14ac:dyDescent="0.25">
      <c r="B15" s="172">
        <v>10</v>
      </c>
      <c r="C15" s="195" t="s">
        <v>286</v>
      </c>
      <c r="D15" s="258">
        <v>1</v>
      </c>
      <c r="E15" s="258">
        <v>0</v>
      </c>
      <c r="F15" s="205">
        <f>'9 -18 Nutrientes solo prof.'!G7</f>
        <v>5.4992183908045979E-2</v>
      </c>
      <c r="G15" s="68" t="s">
        <v>24</v>
      </c>
      <c r="H15" s="196">
        <v>1740000000000</v>
      </c>
      <c r="I15" s="196">
        <f t="shared" si="0"/>
        <v>95686400000</v>
      </c>
      <c r="J15" s="196">
        <f t="shared" si="1"/>
        <v>0</v>
      </c>
      <c r="K15" s="204">
        <f>I15/'EmUSD - EmR$'!$C$8</f>
        <v>2.8995878787878789E-2</v>
      </c>
      <c r="L15" s="204">
        <f>J15/'EmUSD - EmR$'!$C$8</f>
        <v>0</v>
      </c>
      <c r="N15" s="236">
        <v>10</v>
      </c>
      <c r="O15" s="195" t="s">
        <v>286</v>
      </c>
      <c r="P15" s="258">
        <v>1</v>
      </c>
      <c r="Q15" s="258">
        <v>0</v>
      </c>
      <c r="R15" s="205">
        <f>'9 -18 Nutrientes solo prof.'!G7+F15</f>
        <v>0.10998436781609196</v>
      </c>
      <c r="S15" s="68" t="s">
        <v>24</v>
      </c>
      <c r="T15" s="196">
        <v>1740000000000</v>
      </c>
      <c r="U15" s="196">
        <f t="shared" si="2"/>
        <v>191372800000</v>
      </c>
      <c r="V15" s="196">
        <f t="shared" si="3"/>
        <v>0</v>
      </c>
      <c r="W15" s="204">
        <f>U15/'EmUSD - EmR$'!$C$8</f>
        <v>5.7991757575757578E-2</v>
      </c>
      <c r="X15" s="204">
        <f>V15/'EmUSD - EmR$'!$C$8</f>
        <v>0</v>
      </c>
      <c r="Z15" s="468">
        <v>10</v>
      </c>
      <c r="AA15" s="195" t="s">
        <v>286</v>
      </c>
      <c r="AB15" s="258">
        <v>1</v>
      </c>
      <c r="AC15" s="258">
        <v>0</v>
      </c>
      <c r="AD15" s="205">
        <f>'9 -18 Nutrientes solo prof.'!G26</f>
        <v>8.2488275862068972E-2</v>
      </c>
      <c r="AE15" s="68" t="s">
        <v>24</v>
      </c>
      <c r="AF15" s="196">
        <v>1740000000000</v>
      </c>
      <c r="AG15" s="196">
        <f t="shared" si="15"/>
        <v>143529600000</v>
      </c>
      <c r="AH15" s="196">
        <f t="shared" si="4"/>
        <v>0</v>
      </c>
      <c r="AI15" s="204">
        <f>AG15/'EmUSD - EmR$'!$C$8</f>
        <v>4.3493818181818182E-2</v>
      </c>
      <c r="AJ15" s="204">
        <f>AH15/'EmUSD - EmR$'!$C$8</f>
        <v>0</v>
      </c>
      <c r="AL15" s="468">
        <v>10</v>
      </c>
      <c r="AM15" s="195" t="s">
        <v>286</v>
      </c>
      <c r="AN15" s="258">
        <v>1</v>
      </c>
      <c r="AO15" s="258">
        <v>0</v>
      </c>
      <c r="AP15" s="205">
        <f>'9 -18 Nutrientes solo prof.'!G28</f>
        <v>0.26416960408684542</v>
      </c>
      <c r="AQ15" s="68" t="s">
        <v>24</v>
      </c>
      <c r="AR15" s="196">
        <v>1740000000000</v>
      </c>
      <c r="AS15" s="196">
        <f t="shared" si="5"/>
        <v>459655111111.11102</v>
      </c>
      <c r="AT15" s="196">
        <f t="shared" si="6"/>
        <v>0</v>
      </c>
      <c r="AU15" s="204">
        <f>AS15/'EmUSD - EmR$'!$C$8</f>
        <v>0.13928942760942759</v>
      </c>
      <c r="AV15" s="204">
        <f>AT15/'EmUSD - EmR$'!$C$8</f>
        <v>0</v>
      </c>
      <c r="AX15" s="468">
        <v>10</v>
      </c>
      <c r="AY15" s="195" t="s">
        <v>286</v>
      </c>
      <c r="AZ15" s="258">
        <v>1</v>
      </c>
      <c r="BA15" s="258">
        <v>0</v>
      </c>
      <c r="BB15" s="205">
        <f>'9 -18 Nutrientes solo prof.'!G30</f>
        <v>0.8519650574712645</v>
      </c>
      <c r="BC15" s="68" t="s">
        <v>24</v>
      </c>
      <c r="BD15" s="196">
        <v>1740000000000</v>
      </c>
      <c r="BE15" s="196">
        <f t="shared" si="7"/>
        <v>1482419200000.0002</v>
      </c>
      <c r="BF15" s="196">
        <f t="shared" si="8"/>
        <v>0</v>
      </c>
      <c r="BG15" s="204">
        <f>BE15/'EmUSD - EmR$'!$C$8</f>
        <v>0.44921793939393945</v>
      </c>
      <c r="BH15" s="204">
        <f>BF15/'EmUSD - EmR$'!$C$8</f>
        <v>0</v>
      </c>
      <c r="BJ15" s="468">
        <v>10</v>
      </c>
      <c r="BK15" s="195" t="s">
        <v>286</v>
      </c>
      <c r="BL15" s="258">
        <v>1</v>
      </c>
      <c r="BM15" s="258">
        <v>0</v>
      </c>
      <c r="BN15" s="205">
        <f>'9 -18 Nutrientes solo prof.'!G32</f>
        <v>1.523379514687101</v>
      </c>
      <c r="BO15" s="68" t="s">
        <v>24</v>
      </c>
      <c r="BP15" s="196">
        <v>1740000000000</v>
      </c>
      <c r="BQ15" s="196">
        <f t="shared" si="9"/>
        <v>2650680355555.5557</v>
      </c>
      <c r="BR15" s="196">
        <f t="shared" si="10"/>
        <v>0</v>
      </c>
      <c r="BS15" s="204">
        <f>BQ15/'EmUSD - EmR$'!$C$8</f>
        <v>0.80323647138047138</v>
      </c>
      <c r="BT15" s="204">
        <f>BR15/'EmUSD - EmR$'!$C$8</f>
        <v>0</v>
      </c>
      <c r="BV15" s="468">
        <v>10</v>
      </c>
      <c r="BW15" s="195" t="s">
        <v>286</v>
      </c>
      <c r="BX15" s="258">
        <v>1</v>
      </c>
      <c r="BY15" s="258">
        <v>0</v>
      </c>
      <c r="BZ15" s="205">
        <f>'9 -18 Nutrientes solo prof.'!G34</f>
        <v>3.8091994891443166</v>
      </c>
      <c r="CA15" s="68" t="s">
        <v>24</v>
      </c>
      <c r="CB15" s="196">
        <v>1740000000000</v>
      </c>
      <c r="CC15" s="196">
        <f t="shared" si="11"/>
        <v>6628007111111.1113</v>
      </c>
      <c r="CD15" s="196">
        <f t="shared" si="12"/>
        <v>0</v>
      </c>
      <c r="CE15" s="204">
        <f>CC15/'EmUSD - EmR$'!$C$8</f>
        <v>2.0084870033670033</v>
      </c>
      <c r="CF15" s="204">
        <f>CD15/'EmUSD - EmR$'!$C$8</f>
        <v>0</v>
      </c>
      <c r="CH15" s="468">
        <v>10</v>
      </c>
      <c r="CI15" s="195" t="s">
        <v>286</v>
      </c>
      <c r="CJ15" s="258">
        <v>1</v>
      </c>
      <c r="CK15" s="258">
        <v>0</v>
      </c>
      <c r="CL15" s="205">
        <f>'9 -18 Nutrientes solo prof.'!G36</f>
        <v>7.6894770881226062</v>
      </c>
      <c r="CM15" s="68" t="s">
        <v>24</v>
      </c>
      <c r="CN15" s="196">
        <v>1740000000000</v>
      </c>
      <c r="CO15" s="196">
        <f t="shared" si="13"/>
        <v>13379690133333.334</v>
      </c>
      <c r="CP15" s="196">
        <f t="shared" si="14"/>
        <v>0</v>
      </c>
      <c r="CQ15" s="204">
        <f>CO15/'EmUSD - EmR$'!$C$8</f>
        <v>4.0544515555555556</v>
      </c>
      <c r="CR15" s="204">
        <f>CP15/'EmUSD - EmR$'!$C$8</f>
        <v>0</v>
      </c>
    </row>
    <row r="16" spans="2:96" ht="15" customHeight="1" x14ac:dyDescent="0.25">
      <c r="B16" s="172">
        <v>11</v>
      </c>
      <c r="C16" s="195" t="s">
        <v>287</v>
      </c>
      <c r="D16" s="258">
        <v>1</v>
      </c>
      <c r="E16" s="258">
        <v>0</v>
      </c>
      <c r="F16" s="205">
        <f>'9 -18 Nutrientes solo prof.'!H9</f>
        <v>1.8602069976000002</v>
      </c>
      <c r="G16" s="68" t="s">
        <v>24</v>
      </c>
      <c r="H16" s="196">
        <v>2530000000</v>
      </c>
      <c r="I16" s="196">
        <f t="shared" si="0"/>
        <v>4706323703.9280005</v>
      </c>
      <c r="J16" s="196">
        <f t="shared" si="1"/>
        <v>0</v>
      </c>
      <c r="K16" s="204">
        <f>I16/'EmUSD - EmR$'!$C$8</f>
        <v>1.4261586981600002E-3</v>
      </c>
      <c r="L16" s="204">
        <f>J16/'EmUSD - EmR$'!$C$8</f>
        <v>0</v>
      </c>
      <c r="N16" s="236">
        <v>11</v>
      </c>
      <c r="O16" s="195" t="s">
        <v>287</v>
      </c>
      <c r="P16" s="258">
        <v>1</v>
      </c>
      <c r="Q16" s="258">
        <v>0</v>
      </c>
      <c r="R16" s="205">
        <f>'9 -18 Nutrientes solo prof.'!H7+F16</f>
        <v>2.4350669672</v>
      </c>
      <c r="S16" s="68" t="s">
        <v>24</v>
      </c>
      <c r="T16" s="196">
        <v>2530000000</v>
      </c>
      <c r="U16" s="196">
        <f t="shared" si="2"/>
        <v>6160719427.0159998</v>
      </c>
      <c r="V16" s="196">
        <f t="shared" si="3"/>
        <v>0</v>
      </c>
      <c r="W16" s="204">
        <f>U16/'EmUSD - EmR$'!$C$8</f>
        <v>1.8668846748533332E-3</v>
      </c>
      <c r="X16" s="204">
        <f>V16/'EmUSD - EmR$'!$C$8</f>
        <v>0</v>
      </c>
      <c r="Z16" s="468">
        <v>11</v>
      </c>
      <c r="AA16" s="195" t="s">
        <v>287</v>
      </c>
      <c r="AB16" s="258">
        <v>1</v>
      </c>
      <c r="AC16" s="258">
        <v>0</v>
      </c>
      <c r="AD16" s="205">
        <f>'9 -18 Nutrientes solo prof.'!H26</f>
        <v>0.86228995439999978</v>
      </c>
      <c r="AE16" s="68" t="s">
        <v>24</v>
      </c>
      <c r="AF16" s="196">
        <v>2530000000</v>
      </c>
      <c r="AG16" s="196">
        <f t="shared" si="15"/>
        <v>2181593584.6319995</v>
      </c>
      <c r="AH16" s="196">
        <f t="shared" si="4"/>
        <v>0</v>
      </c>
      <c r="AI16" s="204">
        <f>AG16/'EmUSD - EmR$'!$C$8</f>
        <v>6.6108896503999984E-4</v>
      </c>
      <c r="AJ16" s="204">
        <f>AH16/'EmUSD - EmR$'!$C$8</f>
        <v>0</v>
      </c>
      <c r="AL16" s="468">
        <v>11</v>
      </c>
      <c r="AM16" s="195" t="s">
        <v>287</v>
      </c>
      <c r="AN16" s="258">
        <v>1</v>
      </c>
      <c r="AO16" s="258">
        <v>0</v>
      </c>
      <c r="AP16" s="205">
        <f>'9 -18 Nutrientes solo prof.'!H28</f>
        <v>9.3010349880000014</v>
      </c>
      <c r="AQ16" s="68" t="s">
        <v>24</v>
      </c>
      <c r="AR16" s="196">
        <v>2530000000</v>
      </c>
      <c r="AS16" s="196">
        <f t="shared" si="5"/>
        <v>23531618519.640003</v>
      </c>
      <c r="AT16" s="196">
        <f t="shared" si="6"/>
        <v>0</v>
      </c>
      <c r="AU16" s="204">
        <f>AS16/'EmUSD - EmR$'!$C$8</f>
        <v>7.1307934908000012E-3</v>
      </c>
      <c r="AV16" s="204">
        <f>AT16/'EmUSD - EmR$'!$C$8</f>
        <v>0</v>
      </c>
      <c r="AX16" s="468">
        <v>11</v>
      </c>
      <c r="AY16" s="195" t="s">
        <v>287</v>
      </c>
      <c r="AZ16" s="258">
        <v>1</v>
      </c>
      <c r="BA16" s="258">
        <v>0</v>
      </c>
      <c r="BB16" s="205">
        <f>'9 -18 Nutrientes solo prof.'!H30</f>
        <v>6.5893533440000027</v>
      </c>
      <c r="BC16" s="68" t="s">
        <v>24</v>
      </c>
      <c r="BD16" s="196">
        <v>2530000000</v>
      </c>
      <c r="BE16" s="196">
        <f t="shared" si="7"/>
        <v>16671063960.320007</v>
      </c>
      <c r="BF16" s="196">
        <f t="shared" si="8"/>
        <v>0</v>
      </c>
      <c r="BG16" s="204">
        <f>BE16/'EmUSD - EmR$'!$C$8</f>
        <v>5.0518375637333352E-3</v>
      </c>
      <c r="BH16" s="204">
        <f>BF16/'EmUSD - EmR$'!$C$8</f>
        <v>0</v>
      </c>
      <c r="BJ16" s="468">
        <v>11</v>
      </c>
      <c r="BK16" s="195" t="s">
        <v>287</v>
      </c>
      <c r="BL16" s="258">
        <v>1</v>
      </c>
      <c r="BM16" s="258">
        <v>0</v>
      </c>
      <c r="BN16" s="205">
        <f>'9 -18 Nutrientes solo prof.'!H32</f>
        <v>24.650715611200006</v>
      </c>
      <c r="BO16" s="68" t="s">
        <v>24</v>
      </c>
      <c r="BP16" s="196">
        <v>2530000000</v>
      </c>
      <c r="BQ16" s="196">
        <f t="shared" si="9"/>
        <v>62366310496.336014</v>
      </c>
      <c r="BR16" s="196">
        <f t="shared" si="10"/>
        <v>0</v>
      </c>
      <c r="BS16" s="204">
        <f>BQ16/'EmUSD - EmR$'!$C$8</f>
        <v>1.8898881968586672E-2</v>
      </c>
      <c r="BT16" s="204">
        <f>BR16/'EmUSD - EmR$'!$C$8</f>
        <v>0</v>
      </c>
      <c r="BV16" s="468">
        <v>11</v>
      </c>
      <c r="BW16" s="195" t="s">
        <v>287</v>
      </c>
      <c r="BX16" s="258">
        <v>1</v>
      </c>
      <c r="BY16" s="258">
        <v>0</v>
      </c>
      <c r="BZ16" s="205">
        <f>'9 -18 Nutrientes solo prof.'!H34</f>
        <v>43.735337184000002</v>
      </c>
      <c r="CA16" s="68" t="s">
        <v>24</v>
      </c>
      <c r="CB16" s="196">
        <v>2530000000</v>
      </c>
      <c r="CC16" s="196">
        <f t="shared" si="11"/>
        <v>110650403075.52</v>
      </c>
      <c r="CD16" s="196">
        <f t="shared" si="12"/>
        <v>0</v>
      </c>
      <c r="CE16" s="204">
        <f>CC16/'EmUSD - EmR$'!$C$8</f>
        <v>3.3530425174400004E-2</v>
      </c>
      <c r="CF16" s="204">
        <f>CD16/'EmUSD - EmR$'!$C$8</f>
        <v>0</v>
      </c>
      <c r="CH16" s="468">
        <v>11</v>
      </c>
      <c r="CI16" s="195" t="s">
        <v>287</v>
      </c>
      <c r="CJ16" s="258">
        <v>1</v>
      </c>
      <c r="CK16" s="258">
        <v>0</v>
      </c>
      <c r="CL16" s="205">
        <f>'9 -18 Nutrientes solo prof.'!H36</f>
        <v>62.388886924000012</v>
      </c>
      <c r="CM16" s="68" t="s">
        <v>24</v>
      </c>
      <c r="CN16" s="196">
        <v>2530000000</v>
      </c>
      <c r="CO16" s="196">
        <f t="shared" si="13"/>
        <v>157843883917.72003</v>
      </c>
      <c r="CP16" s="196">
        <f t="shared" si="14"/>
        <v>0</v>
      </c>
      <c r="CQ16" s="204">
        <f>CO16/'EmUSD - EmR$'!$C$8</f>
        <v>4.7831479975066676E-2</v>
      </c>
      <c r="CR16" s="204">
        <f>CP16/'EmUSD - EmR$'!$C$8</f>
        <v>0</v>
      </c>
    </row>
    <row r="17" spans="2:96" ht="15" customHeight="1" x14ac:dyDescent="0.25">
      <c r="B17" s="172">
        <v>12</v>
      </c>
      <c r="C17" s="195" t="s">
        <v>288</v>
      </c>
      <c r="D17" s="258">
        <v>1</v>
      </c>
      <c r="E17" s="258">
        <v>0</v>
      </c>
      <c r="F17" s="205">
        <f>'9 -18 Nutrientes solo prof.'!I7</f>
        <v>0.15907864000000002</v>
      </c>
      <c r="G17" s="68" t="s">
        <v>24</v>
      </c>
      <c r="H17" s="196">
        <v>6140000000</v>
      </c>
      <c r="I17" s="196">
        <f t="shared" si="0"/>
        <v>976742849.60000014</v>
      </c>
      <c r="J17" s="196">
        <f t="shared" si="1"/>
        <v>0</v>
      </c>
      <c r="K17" s="204">
        <f>I17/'EmUSD - EmR$'!$C$8</f>
        <v>2.9598268169696973E-4</v>
      </c>
      <c r="L17" s="204">
        <f>J17/'EmUSD - EmR$'!$C$8</f>
        <v>0</v>
      </c>
      <c r="N17" s="236">
        <v>12</v>
      </c>
      <c r="O17" s="195" t="s">
        <v>288</v>
      </c>
      <c r="P17" s="258">
        <v>1</v>
      </c>
      <c r="Q17" s="258">
        <v>0</v>
      </c>
      <c r="R17" s="205">
        <f>'9 -18 Nutrientes solo prof.'!I7+F17</f>
        <v>0.31815728000000004</v>
      </c>
      <c r="S17" s="68" t="s">
        <v>24</v>
      </c>
      <c r="T17" s="196">
        <v>6140000000</v>
      </c>
      <c r="U17" s="196">
        <f t="shared" si="2"/>
        <v>1953485699.2000003</v>
      </c>
      <c r="V17" s="196">
        <f t="shared" si="3"/>
        <v>0</v>
      </c>
      <c r="W17" s="204">
        <f>U17/'EmUSD - EmR$'!$C$8</f>
        <v>5.9196536339393947E-4</v>
      </c>
      <c r="X17" s="204">
        <f>V17/'EmUSD - EmR$'!$C$8</f>
        <v>0</v>
      </c>
      <c r="Z17" s="468">
        <v>12</v>
      </c>
      <c r="AA17" s="195" t="s">
        <v>288</v>
      </c>
      <c r="AB17" s="258">
        <v>1</v>
      </c>
      <c r="AC17" s="258">
        <v>0</v>
      </c>
      <c r="AD17" s="205">
        <f>'9 -18 Nutrientes solo prof.'!I26</f>
        <v>0.23861796000000002</v>
      </c>
      <c r="AE17" s="68" t="s">
        <v>24</v>
      </c>
      <c r="AF17" s="196">
        <v>6140000000</v>
      </c>
      <c r="AG17" s="196">
        <f t="shared" si="15"/>
        <v>1465114274.4000001</v>
      </c>
      <c r="AH17" s="196">
        <f t="shared" si="4"/>
        <v>0</v>
      </c>
      <c r="AI17" s="204">
        <f>AG17/'EmUSD - EmR$'!$C$8</f>
        <v>4.4397402254545457E-4</v>
      </c>
      <c r="AJ17" s="204">
        <f>AH17/'EmUSD - EmR$'!$C$8</f>
        <v>0</v>
      </c>
      <c r="AL17" s="468">
        <v>12</v>
      </c>
      <c r="AM17" s="195" t="s">
        <v>288</v>
      </c>
      <c r="AN17" s="258">
        <v>1</v>
      </c>
      <c r="AO17" s="258">
        <v>0</v>
      </c>
      <c r="AP17" s="205">
        <f>'9 -18 Nutrientes solo prof.'!I28</f>
        <v>1.3320805119999999</v>
      </c>
      <c r="AQ17" s="68" t="s">
        <v>24</v>
      </c>
      <c r="AR17" s="196">
        <v>6140000000</v>
      </c>
      <c r="AS17" s="196">
        <f t="shared" si="5"/>
        <v>8178974343.6799994</v>
      </c>
      <c r="AT17" s="196">
        <f t="shared" si="6"/>
        <v>0</v>
      </c>
      <c r="AU17" s="204">
        <f>AS17/'EmUSD - EmR$'!$C$8</f>
        <v>2.4784770738424241E-3</v>
      </c>
      <c r="AV17" s="204">
        <f>AT17/'EmUSD - EmR$'!$C$8</f>
        <v>0</v>
      </c>
      <c r="AX17" s="468">
        <v>12</v>
      </c>
      <c r="AY17" s="195" t="s">
        <v>288</v>
      </c>
      <c r="AZ17" s="258">
        <v>1</v>
      </c>
      <c r="BA17" s="258">
        <v>0</v>
      </c>
      <c r="BB17" s="205">
        <f>'9 -18 Nutrientes solo prof.'!I30</f>
        <v>1.6084248320000001</v>
      </c>
      <c r="BC17" s="68" t="s">
        <v>24</v>
      </c>
      <c r="BD17" s="196">
        <v>6140000000</v>
      </c>
      <c r="BE17" s="196">
        <f t="shared" si="7"/>
        <v>9875728468.4800014</v>
      </c>
      <c r="BF17" s="196">
        <f t="shared" si="8"/>
        <v>0</v>
      </c>
      <c r="BG17" s="204">
        <f>BE17/'EmUSD - EmR$'!$C$8</f>
        <v>2.9926449904484854E-3</v>
      </c>
      <c r="BH17" s="204">
        <f>BF17/'EmUSD - EmR$'!$C$8</f>
        <v>0</v>
      </c>
      <c r="BJ17" s="468">
        <v>12</v>
      </c>
      <c r="BK17" s="195" t="s">
        <v>288</v>
      </c>
      <c r="BL17" s="258">
        <v>1</v>
      </c>
      <c r="BM17" s="258">
        <v>0</v>
      </c>
      <c r="BN17" s="205">
        <f>'9 -18 Nutrientes solo prof.'!I32</f>
        <v>3.673842972800001</v>
      </c>
      <c r="BO17" s="68" t="s">
        <v>24</v>
      </c>
      <c r="BP17" s="196">
        <v>6140000000</v>
      </c>
      <c r="BQ17" s="196">
        <f t="shared" si="9"/>
        <v>22557395852.992008</v>
      </c>
      <c r="BR17" s="196">
        <f t="shared" si="10"/>
        <v>0</v>
      </c>
      <c r="BS17" s="204">
        <f>BQ17/'EmUSD - EmR$'!$C$8</f>
        <v>6.8355745009066691E-3</v>
      </c>
      <c r="BT17" s="204">
        <f>BR17/'EmUSD - EmR$'!$C$8</f>
        <v>0</v>
      </c>
      <c r="BV17" s="468">
        <v>12</v>
      </c>
      <c r="BW17" s="195" t="s">
        <v>288</v>
      </c>
      <c r="BX17" s="258">
        <v>1</v>
      </c>
      <c r="BY17" s="258">
        <v>0</v>
      </c>
      <c r="BZ17" s="205">
        <f>'9 -18 Nutrientes solo prof.'!I34</f>
        <v>4.3571942400000001</v>
      </c>
      <c r="CA17" s="68" t="s">
        <v>24</v>
      </c>
      <c r="CB17" s="196">
        <v>6140000000</v>
      </c>
      <c r="CC17" s="196">
        <f t="shared" si="11"/>
        <v>26753172633.600002</v>
      </c>
      <c r="CD17" s="196">
        <f t="shared" si="12"/>
        <v>0</v>
      </c>
      <c r="CE17" s="204">
        <f>CC17/'EmUSD - EmR$'!$C$8</f>
        <v>8.1070220101818191E-3</v>
      </c>
      <c r="CF17" s="204">
        <f>CD17/'EmUSD - EmR$'!$C$8</f>
        <v>0</v>
      </c>
      <c r="CH17" s="468">
        <v>12</v>
      </c>
      <c r="CI17" s="195" t="s">
        <v>288</v>
      </c>
      <c r="CJ17" s="258">
        <v>1</v>
      </c>
      <c r="CK17" s="258">
        <v>0</v>
      </c>
      <c r="CL17" s="205">
        <f>'9 -18 Nutrientes solo prof.'!I36</f>
        <v>10.063959651200001</v>
      </c>
      <c r="CM17" s="68" t="s">
        <v>24</v>
      </c>
      <c r="CN17" s="196">
        <v>6140000000</v>
      </c>
      <c r="CO17" s="196">
        <f t="shared" si="13"/>
        <v>61792712258.368004</v>
      </c>
      <c r="CP17" s="196">
        <f t="shared" si="14"/>
        <v>0</v>
      </c>
      <c r="CQ17" s="204">
        <f>CO17/'EmUSD - EmR$'!$C$8</f>
        <v>1.8725064320717577E-2</v>
      </c>
      <c r="CR17" s="204">
        <f>CP17/'EmUSD - EmR$'!$C$8</f>
        <v>0</v>
      </c>
    </row>
    <row r="18" spans="2:96" ht="15" customHeight="1" x14ac:dyDescent="0.25">
      <c r="B18" s="172">
        <v>13</v>
      </c>
      <c r="C18" s="195" t="s">
        <v>289</v>
      </c>
      <c r="D18" s="258">
        <v>1</v>
      </c>
      <c r="E18" s="258">
        <v>0</v>
      </c>
      <c r="F18" s="205"/>
      <c r="G18" s="68" t="s">
        <v>24</v>
      </c>
      <c r="H18" s="196">
        <v>27000000000</v>
      </c>
      <c r="I18" s="196">
        <f t="shared" si="0"/>
        <v>0</v>
      </c>
      <c r="J18" s="196">
        <f t="shared" si="1"/>
        <v>0</v>
      </c>
      <c r="K18" s="204">
        <f>I18/'EmUSD - EmR$'!$C$8</f>
        <v>0</v>
      </c>
      <c r="L18" s="204">
        <f>J18/'EmUSD - EmR$'!$C$8</f>
        <v>0</v>
      </c>
      <c r="N18" s="236">
        <v>13</v>
      </c>
      <c r="O18" s="195" t="s">
        <v>289</v>
      </c>
      <c r="P18" s="258">
        <v>1</v>
      </c>
      <c r="Q18" s="258">
        <v>0</v>
      </c>
      <c r="R18" s="205"/>
      <c r="S18" s="68" t="s">
        <v>24</v>
      </c>
      <c r="T18" s="196">
        <v>27000000000</v>
      </c>
      <c r="U18" s="196">
        <f t="shared" si="2"/>
        <v>0</v>
      </c>
      <c r="V18" s="196">
        <f t="shared" si="3"/>
        <v>0</v>
      </c>
      <c r="W18" s="204">
        <f>U18/'EmUSD - EmR$'!$C$8</f>
        <v>0</v>
      </c>
      <c r="X18" s="204">
        <f>V18/'EmUSD - EmR$'!$C$8</f>
        <v>0</v>
      </c>
      <c r="Z18" s="468">
        <v>13</v>
      </c>
      <c r="AA18" s="195" t="s">
        <v>289</v>
      </c>
      <c r="AB18" s="258">
        <v>1</v>
      </c>
      <c r="AC18" s="258">
        <v>0</v>
      </c>
      <c r="AD18" s="205"/>
      <c r="AE18" s="68" t="s">
        <v>24</v>
      </c>
      <c r="AF18" s="196">
        <v>27000000000</v>
      </c>
      <c r="AG18" s="196">
        <f t="shared" si="15"/>
        <v>0</v>
      </c>
      <c r="AH18" s="196">
        <f t="shared" si="4"/>
        <v>0</v>
      </c>
      <c r="AI18" s="204">
        <f>AG18/'EmUSD - EmR$'!$C$8</f>
        <v>0</v>
      </c>
      <c r="AJ18" s="204">
        <f>AH18/'EmUSD - EmR$'!$C$8</f>
        <v>0</v>
      </c>
      <c r="AL18" s="468">
        <v>13</v>
      </c>
      <c r="AM18" s="195" t="s">
        <v>289</v>
      </c>
      <c r="AN18" s="258">
        <v>1</v>
      </c>
      <c r="AO18" s="258">
        <v>0</v>
      </c>
      <c r="AP18" s="205"/>
      <c r="AQ18" s="68" t="s">
        <v>24</v>
      </c>
      <c r="AR18" s="196">
        <v>27000000000</v>
      </c>
      <c r="AS18" s="196">
        <f t="shared" si="5"/>
        <v>0</v>
      </c>
      <c r="AT18" s="196">
        <f t="shared" si="6"/>
        <v>0</v>
      </c>
      <c r="AU18" s="204">
        <f>AS18/'EmUSD - EmR$'!$C$8</f>
        <v>0</v>
      </c>
      <c r="AV18" s="204">
        <f>AT18/'EmUSD - EmR$'!$C$8</f>
        <v>0</v>
      </c>
      <c r="AX18" s="468">
        <v>13</v>
      </c>
      <c r="AY18" s="195" t="s">
        <v>289</v>
      </c>
      <c r="AZ18" s="258">
        <v>1</v>
      </c>
      <c r="BA18" s="258">
        <v>0</v>
      </c>
      <c r="BB18" s="205"/>
      <c r="BC18" s="68" t="s">
        <v>24</v>
      </c>
      <c r="BD18" s="196">
        <v>27000000000</v>
      </c>
      <c r="BE18" s="196">
        <f t="shared" si="7"/>
        <v>0</v>
      </c>
      <c r="BF18" s="196">
        <f t="shared" si="8"/>
        <v>0</v>
      </c>
      <c r="BG18" s="204">
        <f>BE18/'EmUSD - EmR$'!$C$8</f>
        <v>0</v>
      </c>
      <c r="BH18" s="204">
        <f>BF18/'EmUSD - EmR$'!$C$8</f>
        <v>0</v>
      </c>
      <c r="BJ18" s="468">
        <v>13</v>
      </c>
      <c r="BK18" s="195" t="s">
        <v>289</v>
      </c>
      <c r="BL18" s="258">
        <v>1</v>
      </c>
      <c r="BM18" s="258">
        <v>0</v>
      </c>
      <c r="BN18" s="205"/>
      <c r="BO18" s="68" t="s">
        <v>24</v>
      </c>
      <c r="BP18" s="196">
        <v>27000000000</v>
      </c>
      <c r="BQ18" s="196">
        <f t="shared" si="9"/>
        <v>0</v>
      </c>
      <c r="BR18" s="196">
        <f t="shared" si="10"/>
        <v>0</v>
      </c>
      <c r="BS18" s="204">
        <f>BQ18/'EmUSD - EmR$'!$C$8</f>
        <v>0</v>
      </c>
      <c r="BT18" s="204">
        <f>BR18/'EmUSD - EmR$'!$C$8</f>
        <v>0</v>
      </c>
      <c r="BV18" s="468">
        <v>13</v>
      </c>
      <c r="BW18" s="195" t="s">
        <v>289</v>
      </c>
      <c r="BX18" s="258">
        <v>1</v>
      </c>
      <c r="BY18" s="258">
        <v>0</v>
      </c>
      <c r="BZ18" s="205"/>
      <c r="CA18" s="68" t="s">
        <v>24</v>
      </c>
      <c r="CB18" s="196">
        <v>27000000000</v>
      </c>
      <c r="CC18" s="196">
        <f t="shared" si="11"/>
        <v>0</v>
      </c>
      <c r="CD18" s="196">
        <f t="shared" si="12"/>
        <v>0</v>
      </c>
      <c r="CE18" s="204">
        <f>CC18/'EmUSD - EmR$'!$C$8</f>
        <v>0</v>
      </c>
      <c r="CF18" s="204">
        <f>CD18/'EmUSD - EmR$'!$C$8</f>
        <v>0</v>
      </c>
      <c r="CH18" s="468">
        <v>13</v>
      </c>
      <c r="CI18" s="195" t="s">
        <v>289</v>
      </c>
      <c r="CJ18" s="258">
        <v>1</v>
      </c>
      <c r="CK18" s="258">
        <v>0</v>
      </c>
      <c r="CL18" s="205"/>
      <c r="CM18" s="68" t="s">
        <v>24</v>
      </c>
      <c r="CN18" s="196">
        <v>27000000000</v>
      </c>
      <c r="CO18" s="196">
        <f t="shared" si="13"/>
        <v>0</v>
      </c>
      <c r="CP18" s="196">
        <f t="shared" si="14"/>
        <v>0</v>
      </c>
      <c r="CQ18" s="204">
        <f>CO18/'EmUSD - EmR$'!$C$8</f>
        <v>0</v>
      </c>
      <c r="CR18" s="204">
        <f>CP18/'EmUSD - EmR$'!$C$8</f>
        <v>0</v>
      </c>
    </row>
    <row r="19" spans="2:96" ht="15" customHeight="1" x14ac:dyDescent="0.25">
      <c r="B19" s="172">
        <v>14</v>
      </c>
      <c r="C19" s="195" t="s">
        <v>290</v>
      </c>
      <c r="D19" s="258">
        <v>1</v>
      </c>
      <c r="E19" s="258">
        <v>0</v>
      </c>
      <c r="F19" s="205">
        <f>'9 -18 Nutrientes solo prof.'!J7</f>
        <v>2.0333360000000002E-3</v>
      </c>
      <c r="G19" s="68" t="s">
        <v>24</v>
      </c>
      <c r="H19" s="196">
        <v>27000000000</v>
      </c>
      <c r="I19" s="196">
        <f t="shared" si="0"/>
        <v>54900072.000000007</v>
      </c>
      <c r="J19" s="196">
        <f t="shared" si="1"/>
        <v>0</v>
      </c>
      <c r="K19" s="204">
        <f>I19/'EmUSD - EmR$'!$C$8</f>
        <v>1.6636385454545457E-5</v>
      </c>
      <c r="L19" s="204">
        <f>J19/'EmUSD - EmR$'!$C$8</f>
        <v>0</v>
      </c>
      <c r="N19" s="236">
        <v>14</v>
      </c>
      <c r="O19" s="195" t="s">
        <v>290</v>
      </c>
      <c r="P19" s="258">
        <v>1</v>
      </c>
      <c r="Q19" s="258">
        <v>0</v>
      </c>
      <c r="R19" s="205">
        <f>'9 -18 Nutrientes solo prof.'!J7+F19</f>
        <v>4.0666720000000003E-3</v>
      </c>
      <c r="S19" s="68" t="s">
        <v>24</v>
      </c>
      <c r="T19" s="196">
        <v>27000000000</v>
      </c>
      <c r="U19" s="196">
        <f t="shared" si="2"/>
        <v>109800144.00000001</v>
      </c>
      <c r="V19" s="196">
        <f t="shared" si="3"/>
        <v>0</v>
      </c>
      <c r="W19" s="204">
        <f>U19/'EmUSD - EmR$'!$C$8</f>
        <v>3.3272770909090913E-5</v>
      </c>
      <c r="X19" s="204">
        <f>V19/'EmUSD - EmR$'!$C$8</f>
        <v>0</v>
      </c>
      <c r="Z19" s="468">
        <v>14</v>
      </c>
      <c r="AA19" s="195" t="s">
        <v>290</v>
      </c>
      <c r="AB19" s="258">
        <v>1</v>
      </c>
      <c r="AC19" s="258">
        <v>0</v>
      </c>
      <c r="AD19" s="205">
        <f>'9 -18 Nutrientes solo prof.'!J26</f>
        <v>3.0500040000000003E-3</v>
      </c>
      <c r="AE19" s="68" t="s">
        <v>24</v>
      </c>
      <c r="AF19" s="196">
        <v>27000000000</v>
      </c>
      <c r="AG19" s="196">
        <f t="shared" si="15"/>
        <v>82350108</v>
      </c>
      <c r="AH19" s="196">
        <f t="shared" si="4"/>
        <v>0</v>
      </c>
      <c r="AI19" s="204">
        <f>AG19/'EmUSD - EmR$'!$C$8</f>
        <v>2.4954578181818183E-5</v>
      </c>
      <c r="AJ19" s="204">
        <f>AH19/'EmUSD - EmR$'!$C$8</f>
        <v>0</v>
      </c>
      <c r="AL19" s="468">
        <v>14</v>
      </c>
      <c r="AM19" s="195" t="s">
        <v>290</v>
      </c>
      <c r="AN19" s="258">
        <v>1</v>
      </c>
      <c r="AO19" s="258">
        <v>0</v>
      </c>
      <c r="AP19" s="205">
        <f>'9 -18 Nutrientes solo prof.'!J28</f>
        <v>2.4131893333333331E-2</v>
      </c>
      <c r="AQ19" s="68" t="s">
        <v>24</v>
      </c>
      <c r="AR19" s="196">
        <v>27000000000</v>
      </c>
      <c r="AS19" s="196">
        <f t="shared" si="5"/>
        <v>651561120</v>
      </c>
      <c r="AT19" s="196">
        <f t="shared" si="6"/>
        <v>0</v>
      </c>
      <c r="AU19" s="204">
        <f>AS19/'EmUSD - EmR$'!$C$8</f>
        <v>1.9744276363636363E-4</v>
      </c>
      <c r="AV19" s="204">
        <f>AT19/'EmUSD - EmR$'!$C$8</f>
        <v>0</v>
      </c>
      <c r="AX19" s="468">
        <v>14</v>
      </c>
      <c r="AY19" s="195" t="s">
        <v>290</v>
      </c>
      <c r="AZ19" s="258">
        <v>1</v>
      </c>
      <c r="BA19" s="258">
        <v>0</v>
      </c>
      <c r="BB19" s="205">
        <f>'9 -18 Nutrientes solo prof.'!J30</f>
        <v>3.088373333333334E-2</v>
      </c>
      <c r="BC19" s="68" t="s">
        <v>24</v>
      </c>
      <c r="BD19" s="196">
        <v>27000000000</v>
      </c>
      <c r="BE19" s="196">
        <f t="shared" si="7"/>
        <v>833860800.00000024</v>
      </c>
      <c r="BF19" s="196">
        <f t="shared" si="8"/>
        <v>0</v>
      </c>
      <c r="BG19" s="204">
        <f>BE19/'EmUSD - EmR$'!$C$8</f>
        <v>2.5268509090909096E-4</v>
      </c>
      <c r="BH19" s="204">
        <f>BF19/'EmUSD - EmR$'!$C$8</f>
        <v>0</v>
      </c>
      <c r="BJ19" s="468">
        <v>14</v>
      </c>
      <c r="BK19" s="195" t="s">
        <v>290</v>
      </c>
      <c r="BL19" s="258">
        <v>1</v>
      </c>
      <c r="BM19" s="258">
        <v>0</v>
      </c>
      <c r="BN19" s="205">
        <f>'9 -18 Nutrientes solo prof.'!J32</f>
        <v>8.2578888000000017E-2</v>
      </c>
      <c r="BO19" s="68" t="s">
        <v>24</v>
      </c>
      <c r="BP19" s="196">
        <v>27000000000</v>
      </c>
      <c r="BQ19" s="196">
        <f t="shared" si="9"/>
        <v>2229629976.0000005</v>
      </c>
      <c r="BR19" s="196">
        <f t="shared" si="10"/>
        <v>0</v>
      </c>
      <c r="BS19" s="204">
        <f>BQ19/'EmUSD - EmR$'!$C$8</f>
        <v>6.7564544727272743E-4</v>
      </c>
      <c r="BT19" s="204">
        <f>BR19/'EmUSD - EmR$'!$C$8</f>
        <v>0</v>
      </c>
      <c r="BV19" s="468">
        <v>14</v>
      </c>
      <c r="BW19" s="195" t="s">
        <v>290</v>
      </c>
      <c r="BX19" s="258">
        <v>1</v>
      </c>
      <c r="BY19" s="258">
        <v>0</v>
      </c>
      <c r="BZ19" s="205">
        <f>'9 -18 Nutrientes solo prof.'!J34</f>
        <v>0.12103317333333335</v>
      </c>
      <c r="CA19" s="68" t="s">
        <v>24</v>
      </c>
      <c r="CB19" s="196">
        <v>27000000000</v>
      </c>
      <c r="CC19" s="196">
        <f t="shared" si="11"/>
        <v>3267895680.0000005</v>
      </c>
      <c r="CD19" s="196">
        <f t="shared" si="12"/>
        <v>0</v>
      </c>
      <c r="CE19" s="204">
        <f>CC19/'EmUSD - EmR$'!$C$8</f>
        <v>9.9027141818181842E-4</v>
      </c>
      <c r="CF19" s="204">
        <f>CD19/'EmUSD - EmR$'!$C$8</f>
        <v>0</v>
      </c>
      <c r="CH19" s="468">
        <v>14</v>
      </c>
      <c r="CI19" s="195" t="s">
        <v>290</v>
      </c>
      <c r="CJ19" s="258">
        <v>1</v>
      </c>
      <c r="CK19" s="258">
        <v>0</v>
      </c>
      <c r="CL19" s="205">
        <f>'9 -18 Nutrientes solo prof.'!J36</f>
        <v>0.15812361066666669</v>
      </c>
      <c r="CM19" s="68" t="s">
        <v>24</v>
      </c>
      <c r="CN19" s="196">
        <v>27000000000</v>
      </c>
      <c r="CO19" s="196">
        <f t="shared" si="13"/>
        <v>4269337488.0000005</v>
      </c>
      <c r="CP19" s="196">
        <f t="shared" si="14"/>
        <v>0</v>
      </c>
      <c r="CQ19" s="204">
        <f>CO19/'EmUSD - EmR$'!$C$8</f>
        <v>1.2937386327272729E-3</v>
      </c>
      <c r="CR19" s="204">
        <f>CP19/'EmUSD - EmR$'!$C$8</f>
        <v>0</v>
      </c>
    </row>
    <row r="20" spans="2:96" ht="15" customHeight="1" x14ac:dyDescent="0.25">
      <c r="B20" s="172">
        <v>15</v>
      </c>
      <c r="C20" s="195" t="s">
        <v>291</v>
      </c>
      <c r="D20" s="258">
        <v>1</v>
      </c>
      <c r="E20" s="258">
        <v>0</v>
      </c>
      <c r="F20" s="205">
        <f>'9 -18 Nutrientes solo prof.'!K7</f>
        <v>3.6679786666666669E-4</v>
      </c>
      <c r="G20" s="68" t="s">
        <v>24</v>
      </c>
      <c r="H20" s="196">
        <v>98000000000</v>
      </c>
      <c r="I20" s="196">
        <f t="shared" si="0"/>
        <v>35946190.933333337</v>
      </c>
      <c r="J20" s="196">
        <f t="shared" si="1"/>
        <v>0</v>
      </c>
      <c r="K20" s="204">
        <f>I20/'EmUSD - EmR$'!$C$8</f>
        <v>1.0892785131313133E-5</v>
      </c>
      <c r="L20" s="204">
        <f>J20/'EmUSD - EmR$'!$C$8</f>
        <v>0</v>
      </c>
      <c r="N20" s="236">
        <v>15</v>
      </c>
      <c r="O20" s="195" t="s">
        <v>291</v>
      </c>
      <c r="P20" s="258">
        <v>1</v>
      </c>
      <c r="Q20" s="258">
        <v>0</v>
      </c>
      <c r="R20" s="205">
        <f>'9 -18 Nutrientes solo prof.'!K7+F20</f>
        <v>7.3359573333333337E-4</v>
      </c>
      <c r="S20" s="68" t="s">
        <v>24</v>
      </c>
      <c r="T20" s="196">
        <v>98000000000</v>
      </c>
      <c r="U20" s="196">
        <f t="shared" si="2"/>
        <v>71892381.866666675</v>
      </c>
      <c r="V20" s="196">
        <f t="shared" si="3"/>
        <v>0</v>
      </c>
      <c r="W20" s="204">
        <f>U20/'EmUSD - EmR$'!$C$8</f>
        <v>2.1785570262626267E-5</v>
      </c>
      <c r="X20" s="204">
        <f>V20/'EmUSD - EmR$'!$C$8</f>
        <v>0</v>
      </c>
      <c r="Z20" s="468">
        <v>15</v>
      </c>
      <c r="AA20" s="195" t="s">
        <v>291</v>
      </c>
      <c r="AB20" s="258">
        <v>1</v>
      </c>
      <c r="AC20" s="258">
        <v>0</v>
      </c>
      <c r="AD20" s="205">
        <f>'9 -18 Nutrientes solo prof.'!K26</f>
        <v>5.5019680000000003E-4</v>
      </c>
      <c r="AE20" s="68" t="s">
        <v>24</v>
      </c>
      <c r="AF20" s="196">
        <v>98000000000</v>
      </c>
      <c r="AG20" s="196">
        <f t="shared" si="15"/>
        <v>53919286.400000006</v>
      </c>
      <c r="AH20" s="196">
        <f t="shared" si="4"/>
        <v>0</v>
      </c>
      <c r="AI20" s="204">
        <f>AG20/'EmUSD - EmR$'!$C$8</f>
        <v>1.6339177696969698E-5</v>
      </c>
      <c r="AJ20" s="204">
        <f>AH20/'EmUSD - EmR$'!$C$8</f>
        <v>0</v>
      </c>
      <c r="AL20" s="468">
        <v>15</v>
      </c>
      <c r="AM20" s="195" t="s">
        <v>291</v>
      </c>
      <c r="AN20" s="258">
        <v>1</v>
      </c>
      <c r="AO20" s="258">
        <v>0</v>
      </c>
      <c r="AP20" s="205">
        <f>'9 -18 Nutrientes solo prof.'!K28</f>
        <v>8.7909039999999987E-3</v>
      </c>
      <c r="AQ20" s="68" t="s">
        <v>24</v>
      </c>
      <c r="AR20" s="196">
        <v>98000000000</v>
      </c>
      <c r="AS20" s="196">
        <f t="shared" si="5"/>
        <v>861508591.99999988</v>
      </c>
      <c r="AT20" s="196">
        <f t="shared" si="6"/>
        <v>0</v>
      </c>
      <c r="AU20" s="204">
        <f>AS20/'EmUSD - EmR$'!$C$8</f>
        <v>2.6106320969696966E-4</v>
      </c>
      <c r="AV20" s="204">
        <f>AT20/'EmUSD - EmR$'!$C$8</f>
        <v>0</v>
      </c>
      <c r="AX20" s="468">
        <v>15</v>
      </c>
      <c r="AY20" s="195" t="s">
        <v>291</v>
      </c>
      <c r="AZ20" s="258">
        <v>1</v>
      </c>
      <c r="BA20" s="258">
        <v>0</v>
      </c>
      <c r="BB20" s="205">
        <f>'9 -18 Nutrientes solo prof.'!K30</f>
        <v>6.9179562666666682E-3</v>
      </c>
      <c r="BC20" s="68" t="s">
        <v>24</v>
      </c>
      <c r="BD20" s="196">
        <v>98000000000</v>
      </c>
      <c r="BE20" s="196">
        <f t="shared" si="7"/>
        <v>677959714.13333344</v>
      </c>
      <c r="BF20" s="196">
        <f t="shared" si="8"/>
        <v>0</v>
      </c>
      <c r="BG20" s="204">
        <f>BE20/'EmUSD - EmR$'!$C$8</f>
        <v>2.0544233761616166E-4</v>
      </c>
      <c r="BH20" s="204">
        <f>BF20/'EmUSD - EmR$'!$C$8</f>
        <v>0</v>
      </c>
      <c r="BJ20" s="468">
        <v>15</v>
      </c>
      <c r="BK20" s="195" t="s">
        <v>291</v>
      </c>
      <c r="BL20" s="258">
        <v>1</v>
      </c>
      <c r="BM20" s="258">
        <v>0</v>
      </c>
      <c r="BN20" s="205">
        <f>'9 -18 Nutrientes solo prof.'!K32</f>
        <v>1.92684072E-2</v>
      </c>
      <c r="BO20" s="68" t="s">
        <v>24</v>
      </c>
      <c r="BP20" s="196">
        <v>98000000000</v>
      </c>
      <c r="BQ20" s="196">
        <f t="shared" si="9"/>
        <v>1888303905.6000001</v>
      </c>
      <c r="BR20" s="196">
        <f t="shared" si="10"/>
        <v>0</v>
      </c>
      <c r="BS20" s="204">
        <f>BQ20/'EmUSD - EmR$'!$C$8</f>
        <v>5.7221330472727273E-4</v>
      </c>
      <c r="BT20" s="204">
        <f>BR20/'EmUSD - EmR$'!$C$8</f>
        <v>0</v>
      </c>
      <c r="BV20" s="468">
        <v>15</v>
      </c>
      <c r="BW20" s="195" t="s">
        <v>291</v>
      </c>
      <c r="BX20" s="258">
        <v>1</v>
      </c>
      <c r="BY20" s="258">
        <v>0</v>
      </c>
      <c r="BZ20" s="205">
        <f>'9 -18 Nutrientes solo prof.'!K34</f>
        <v>2.0748543999999997E-2</v>
      </c>
      <c r="CA20" s="68" t="s">
        <v>24</v>
      </c>
      <c r="CB20" s="196">
        <v>98000000000</v>
      </c>
      <c r="CC20" s="196">
        <f t="shared" si="11"/>
        <v>2033357311.9999998</v>
      </c>
      <c r="CD20" s="196">
        <f t="shared" si="12"/>
        <v>0</v>
      </c>
      <c r="CE20" s="204">
        <f>CC20/'EmUSD - EmR$'!$C$8</f>
        <v>6.1616888242424235E-4</v>
      </c>
      <c r="CF20" s="204">
        <f>CD20/'EmUSD - EmR$'!$C$8</f>
        <v>0</v>
      </c>
      <c r="CH20" s="468">
        <v>15</v>
      </c>
      <c r="CI20" s="195" t="s">
        <v>291</v>
      </c>
      <c r="CJ20" s="258">
        <v>1</v>
      </c>
      <c r="CK20" s="258">
        <v>0</v>
      </c>
      <c r="CL20" s="205">
        <f>'9 -18 Nutrientes solo prof.'!K36</f>
        <v>3.2841057600000008E-2</v>
      </c>
      <c r="CM20" s="68" t="s">
        <v>24</v>
      </c>
      <c r="CN20" s="196">
        <v>98000000000</v>
      </c>
      <c r="CO20" s="196">
        <f t="shared" si="13"/>
        <v>3218423644.8000007</v>
      </c>
      <c r="CP20" s="196">
        <f t="shared" si="14"/>
        <v>0</v>
      </c>
      <c r="CQ20" s="204">
        <f>CO20/'EmUSD - EmR$'!$C$8</f>
        <v>9.7527989236363655E-4</v>
      </c>
      <c r="CR20" s="204">
        <f>CP20/'EmUSD - EmR$'!$C$8</f>
        <v>0</v>
      </c>
    </row>
    <row r="21" spans="2:96" ht="15" customHeight="1" x14ac:dyDescent="0.25">
      <c r="B21" s="172">
        <v>16</v>
      </c>
      <c r="C21" s="195" t="s">
        <v>292</v>
      </c>
      <c r="D21" s="258">
        <v>1</v>
      </c>
      <c r="E21" s="258">
        <v>0</v>
      </c>
      <c r="F21" s="205">
        <f>'9 -18 Nutrientes solo prof.'!L7</f>
        <v>9.799882133333335E-3</v>
      </c>
      <c r="G21" s="68" t="s">
        <v>24</v>
      </c>
      <c r="H21" s="196">
        <v>12000000000</v>
      </c>
      <c r="I21" s="196">
        <f t="shared" si="0"/>
        <v>117598585.60000002</v>
      </c>
      <c r="J21" s="196">
        <f t="shared" si="1"/>
        <v>0</v>
      </c>
      <c r="K21" s="204">
        <f>I21/'EmUSD - EmR$'!$C$8</f>
        <v>3.5635935030303035E-5</v>
      </c>
      <c r="L21" s="204">
        <f>J21/'EmUSD - EmR$'!$C$8</f>
        <v>0</v>
      </c>
      <c r="N21" s="236">
        <v>16</v>
      </c>
      <c r="O21" s="195" t="s">
        <v>292</v>
      </c>
      <c r="P21" s="258">
        <v>1</v>
      </c>
      <c r="Q21" s="258">
        <v>0</v>
      </c>
      <c r="R21" s="205">
        <f>'9 -18 Nutrientes solo prof.'!L7+F21</f>
        <v>1.959976426666667E-2</v>
      </c>
      <c r="S21" s="68" t="s">
        <v>24</v>
      </c>
      <c r="T21" s="196">
        <v>12000000000</v>
      </c>
      <c r="U21" s="196">
        <f t="shared" si="2"/>
        <v>235197171.20000005</v>
      </c>
      <c r="V21" s="196">
        <f t="shared" si="3"/>
        <v>0</v>
      </c>
      <c r="W21" s="204">
        <f>U21/'EmUSD - EmR$'!$C$8</f>
        <v>7.127187006060607E-5</v>
      </c>
      <c r="X21" s="204">
        <f>V21/'EmUSD - EmR$'!$C$8</f>
        <v>0</v>
      </c>
      <c r="Z21" s="468">
        <v>16</v>
      </c>
      <c r="AA21" s="195" t="s">
        <v>292</v>
      </c>
      <c r="AB21" s="258">
        <v>1</v>
      </c>
      <c r="AC21" s="258">
        <v>0</v>
      </c>
      <c r="AD21" s="205">
        <f>'9 -18 Nutrientes solo prof.'!L26</f>
        <v>1.4699823200000003E-2</v>
      </c>
      <c r="AE21" s="68" t="s">
        <v>24</v>
      </c>
      <c r="AF21" s="196">
        <v>12000000000</v>
      </c>
      <c r="AG21" s="196">
        <f t="shared" si="15"/>
        <v>176397878.40000004</v>
      </c>
      <c r="AH21" s="196">
        <f t="shared" si="4"/>
        <v>0</v>
      </c>
      <c r="AI21" s="204">
        <f>AG21/'EmUSD - EmR$'!$C$8</f>
        <v>5.3453902545454556E-5</v>
      </c>
      <c r="AJ21" s="204">
        <f>AH21/'EmUSD - EmR$'!$C$8</f>
        <v>0</v>
      </c>
      <c r="AL21" s="468">
        <v>16</v>
      </c>
      <c r="AM21" s="195" t="s">
        <v>292</v>
      </c>
      <c r="AN21" s="258">
        <v>1</v>
      </c>
      <c r="AO21" s="258">
        <v>0</v>
      </c>
      <c r="AP21" s="205">
        <f>'9 -18 Nutrientes solo prof.'!L28</f>
        <v>0.12652006933333332</v>
      </c>
      <c r="AQ21" s="68" t="s">
        <v>24</v>
      </c>
      <c r="AR21" s="196">
        <v>12000000000</v>
      </c>
      <c r="AS21" s="196">
        <f t="shared" si="5"/>
        <v>1518240831.9999998</v>
      </c>
      <c r="AT21" s="196">
        <f t="shared" si="6"/>
        <v>0</v>
      </c>
      <c r="AU21" s="204">
        <f>AS21/'EmUSD - EmR$'!$C$8</f>
        <v>4.6007297939393933E-4</v>
      </c>
      <c r="AV21" s="204">
        <f>AT21/'EmUSD - EmR$'!$C$8</f>
        <v>0</v>
      </c>
      <c r="AX21" s="468">
        <v>16</v>
      </c>
      <c r="AY21" s="195" t="s">
        <v>292</v>
      </c>
      <c r="AZ21" s="258">
        <v>1</v>
      </c>
      <c r="BA21" s="258">
        <v>0</v>
      </c>
      <c r="BB21" s="205">
        <f>'9 -18 Nutrientes solo prof.'!L30</f>
        <v>0.13069995946666668</v>
      </c>
      <c r="BC21" s="68" t="s">
        <v>24</v>
      </c>
      <c r="BD21" s="196">
        <v>12000000000</v>
      </c>
      <c r="BE21" s="196">
        <f t="shared" si="7"/>
        <v>1568399513.6000001</v>
      </c>
      <c r="BF21" s="196">
        <f t="shared" si="8"/>
        <v>0</v>
      </c>
      <c r="BG21" s="204">
        <f>BE21/'EmUSD - EmR$'!$C$8</f>
        <v>4.7527257987878794E-4</v>
      </c>
      <c r="BH21" s="204">
        <f>BF21/'EmUSD - EmR$'!$C$8</f>
        <v>0</v>
      </c>
      <c r="BJ21" s="468">
        <v>16</v>
      </c>
      <c r="BK21" s="195" t="s">
        <v>292</v>
      </c>
      <c r="BL21" s="258">
        <v>1</v>
      </c>
      <c r="BM21" s="258">
        <v>0</v>
      </c>
      <c r="BN21" s="205">
        <f>'9 -18 Nutrientes solo prof.'!L32</f>
        <v>0.84872746000000021</v>
      </c>
      <c r="BO21" s="68" t="s">
        <v>24</v>
      </c>
      <c r="BP21" s="196">
        <v>12000000000</v>
      </c>
      <c r="BQ21" s="196">
        <f t="shared" si="9"/>
        <v>10184729520.000002</v>
      </c>
      <c r="BR21" s="196">
        <f t="shared" si="10"/>
        <v>0</v>
      </c>
      <c r="BS21" s="204">
        <f>BQ21/'EmUSD - EmR$'!$C$8</f>
        <v>3.0862816727272734E-3</v>
      </c>
      <c r="BT21" s="204">
        <f>BR21/'EmUSD - EmR$'!$C$8</f>
        <v>0</v>
      </c>
      <c r="BV21" s="468">
        <v>16</v>
      </c>
      <c r="BW21" s="195" t="s">
        <v>292</v>
      </c>
      <c r="BX21" s="258">
        <v>1</v>
      </c>
      <c r="BY21" s="258">
        <v>0</v>
      </c>
      <c r="BZ21" s="205">
        <f>'9 -18 Nutrientes solo prof.'!L34</f>
        <v>0.65401139733333336</v>
      </c>
      <c r="CA21" s="68" t="s">
        <v>24</v>
      </c>
      <c r="CB21" s="196">
        <v>12000000000</v>
      </c>
      <c r="CC21" s="196">
        <f t="shared" si="11"/>
        <v>7848136768</v>
      </c>
      <c r="CD21" s="196">
        <f t="shared" si="12"/>
        <v>0</v>
      </c>
      <c r="CE21" s="204">
        <f>CC21/'EmUSD - EmR$'!$C$8</f>
        <v>2.3782232630303029E-3</v>
      </c>
      <c r="CF21" s="204">
        <f>CD21/'EmUSD - EmR$'!$C$8</f>
        <v>0</v>
      </c>
      <c r="CH21" s="468">
        <v>16</v>
      </c>
      <c r="CI21" s="195" t="s">
        <v>292</v>
      </c>
      <c r="CJ21" s="258">
        <v>1</v>
      </c>
      <c r="CK21" s="258">
        <v>0</v>
      </c>
      <c r="CL21" s="205">
        <f>'9 -18 Nutrientes solo prof.'!L36</f>
        <v>0.63310261039999993</v>
      </c>
      <c r="CM21" s="68" t="s">
        <v>24</v>
      </c>
      <c r="CN21" s="196">
        <v>12000000000</v>
      </c>
      <c r="CO21" s="196">
        <f t="shared" si="13"/>
        <v>7597231324.7999992</v>
      </c>
      <c r="CP21" s="196">
        <f t="shared" si="14"/>
        <v>0</v>
      </c>
      <c r="CQ21" s="204">
        <f>CO21/'EmUSD - EmR$'!$C$8</f>
        <v>2.3021913105454542E-3</v>
      </c>
      <c r="CR21" s="204">
        <f>CP21/'EmUSD - EmR$'!$C$8</f>
        <v>0</v>
      </c>
    </row>
    <row r="22" spans="2:96" ht="15" customHeight="1" x14ac:dyDescent="0.25">
      <c r="B22" s="172">
        <v>17</v>
      </c>
      <c r="C22" s="195" t="s">
        <v>293</v>
      </c>
      <c r="D22" s="258">
        <v>1</v>
      </c>
      <c r="E22" s="258">
        <v>0</v>
      </c>
      <c r="F22" s="205">
        <f>'9 -18 Nutrientes solo prof.'!M7</f>
        <v>9.9513855999999994E-3</v>
      </c>
      <c r="G22" s="68" t="s">
        <v>24</v>
      </c>
      <c r="H22" s="196">
        <v>350000000000</v>
      </c>
      <c r="I22" s="196">
        <f t="shared" si="0"/>
        <v>3482984960</v>
      </c>
      <c r="J22" s="196">
        <f t="shared" si="1"/>
        <v>0</v>
      </c>
      <c r="K22" s="204">
        <f>I22/'EmUSD - EmR$'!$C$8</f>
        <v>1.0554499878787879E-3</v>
      </c>
      <c r="L22" s="204">
        <f>J22/'EmUSD - EmR$'!$C$8</f>
        <v>0</v>
      </c>
      <c r="N22" s="236">
        <v>17</v>
      </c>
      <c r="O22" s="195" t="s">
        <v>293</v>
      </c>
      <c r="P22" s="258">
        <v>1</v>
      </c>
      <c r="Q22" s="258">
        <v>0</v>
      </c>
      <c r="R22" s="205">
        <f>'9 -18 Nutrientes solo prof.'!M7+F22</f>
        <v>1.9902771199999999E-2</v>
      </c>
      <c r="S22" s="68" t="s">
        <v>24</v>
      </c>
      <c r="T22" s="196">
        <v>350000000000</v>
      </c>
      <c r="U22" s="196">
        <f t="shared" si="2"/>
        <v>6965969920</v>
      </c>
      <c r="V22" s="196">
        <f t="shared" si="3"/>
        <v>0</v>
      </c>
      <c r="W22" s="204">
        <f>U22/'EmUSD - EmR$'!$C$8</f>
        <v>2.1108999757575757E-3</v>
      </c>
      <c r="X22" s="204">
        <f>V22/'EmUSD - EmR$'!$C$8</f>
        <v>0</v>
      </c>
      <c r="Z22" s="468">
        <v>17</v>
      </c>
      <c r="AA22" s="195" t="s">
        <v>293</v>
      </c>
      <c r="AB22" s="258">
        <v>1</v>
      </c>
      <c r="AC22" s="258">
        <v>0</v>
      </c>
      <c r="AD22" s="205">
        <f>'9 -18 Nutrientes solo prof.'!M26</f>
        <v>1.4927078399999998E-2</v>
      </c>
      <c r="AE22" s="68" t="s">
        <v>24</v>
      </c>
      <c r="AF22" s="196">
        <v>350000000000</v>
      </c>
      <c r="AG22" s="196">
        <f t="shared" si="15"/>
        <v>5224477439.999999</v>
      </c>
      <c r="AH22" s="196">
        <f t="shared" si="4"/>
        <v>0</v>
      </c>
      <c r="AI22" s="204">
        <f>AG22/'EmUSD - EmR$'!$C$8</f>
        <v>1.5831749818181816E-3</v>
      </c>
      <c r="AJ22" s="204">
        <f>AH22/'EmUSD - EmR$'!$C$8</f>
        <v>0</v>
      </c>
      <c r="AL22" s="468">
        <v>17</v>
      </c>
      <c r="AM22" s="195" t="s">
        <v>293</v>
      </c>
      <c r="AN22" s="258">
        <v>1</v>
      </c>
      <c r="AO22" s="258">
        <v>0</v>
      </c>
      <c r="AP22" s="205">
        <f>'9 -18 Nutrientes solo prof.'!M28</f>
        <v>0.11298897199999999</v>
      </c>
      <c r="AQ22" s="68" t="s">
        <v>24</v>
      </c>
      <c r="AR22" s="196">
        <v>350000000000</v>
      </c>
      <c r="AS22" s="196">
        <f t="shared" si="5"/>
        <v>39546140200</v>
      </c>
      <c r="AT22" s="196">
        <f t="shared" si="6"/>
        <v>0</v>
      </c>
      <c r="AU22" s="204">
        <f>AS22/'EmUSD - EmR$'!$C$8</f>
        <v>1.1983678848484848E-2</v>
      </c>
      <c r="AV22" s="204">
        <f>AT22/'EmUSD - EmR$'!$C$8</f>
        <v>0</v>
      </c>
      <c r="AX22" s="468">
        <v>17</v>
      </c>
      <c r="AY22" s="195" t="s">
        <v>293</v>
      </c>
      <c r="AZ22" s="258">
        <v>1</v>
      </c>
      <c r="BA22" s="258">
        <v>0</v>
      </c>
      <c r="BB22" s="205">
        <f>'9 -18 Nutrientes solo prof.'!M30</f>
        <v>0.13687670613333336</v>
      </c>
      <c r="BC22" s="68" t="s">
        <v>24</v>
      </c>
      <c r="BD22" s="196">
        <v>350000000000</v>
      </c>
      <c r="BE22" s="196">
        <f t="shared" si="7"/>
        <v>47906847146.666679</v>
      </c>
      <c r="BF22" s="196">
        <f t="shared" si="8"/>
        <v>0</v>
      </c>
      <c r="BG22" s="204">
        <f>BE22/'EmUSD - EmR$'!$C$8</f>
        <v>1.4517226408080812E-2</v>
      </c>
      <c r="BH22" s="204">
        <f>BF22/'EmUSD - EmR$'!$C$8</f>
        <v>0</v>
      </c>
      <c r="BJ22" s="468">
        <v>17</v>
      </c>
      <c r="BK22" s="195" t="s">
        <v>293</v>
      </c>
      <c r="BL22" s="258">
        <v>1</v>
      </c>
      <c r="BM22" s="258">
        <v>0</v>
      </c>
      <c r="BN22" s="205">
        <f>'9 -18 Nutrientes solo prof.'!M32</f>
        <v>0.24987759813333338</v>
      </c>
      <c r="BO22" s="68" t="s">
        <v>24</v>
      </c>
      <c r="BP22" s="196">
        <v>350000000000</v>
      </c>
      <c r="BQ22" s="196">
        <f t="shared" si="9"/>
        <v>87457159346.666687</v>
      </c>
      <c r="BR22" s="196">
        <f t="shared" si="10"/>
        <v>0</v>
      </c>
      <c r="BS22" s="204">
        <f>BQ22/'EmUSD - EmR$'!$C$8</f>
        <v>2.6502169498989904E-2</v>
      </c>
      <c r="BT22" s="204">
        <f>BR22/'EmUSD - EmR$'!$C$8</f>
        <v>0</v>
      </c>
      <c r="BV22" s="468">
        <v>17</v>
      </c>
      <c r="BW22" s="195" t="s">
        <v>293</v>
      </c>
      <c r="BX22" s="258">
        <v>1</v>
      </c>
      <c r="BY22" s="258">
        <v>0</v>
      </c>
      <c r="BZ22" s="205">
        <f>'9 -18 Nutrientes solo prof.'!M34</f>
        <v>0.20964674666666669</v>
      </c>
      <c r="CA22" s="68" t="s">
        <v>24</v>
      </c>
      <c r="CB22" s="196">
        <v>350000000000</v>
      </c>
      <c r="CC22" s="196">
        <f t="shared" si="11"/>
        <v>73376361333.333344</v>
      </c>
      <c r="CD22" s="196">
        <f t="shared" si="12"/>
        <v>0</v>
      </c>
      <c r="CE22" s="204">
        <f>CC22/'EmUSD - EmR$'!$C$8</f>
        <v>2.2235261010101013E-2</v>
      </c>
      <c r="CF22" s="204">
        <f>CD22/'EmUSD - EmR$'!$C$8</f>
        <v>0</v>
      </c>
      <c r="CH22" s="468">
        <v>17</v>
      </c>
      <c r="CI22" s="195" t="s">
        <v>293</v>
      </c>
      <c r="CJ22" s="258">
        <v>1</v>
      </c>
      <c r="CK22" s="258">
        <v>0</v>
      </c>
      <c r="CL22" s="205">
        <f>'9 -18 Nutrientes solo prof.'!M36</f>
        <v>0.37159048506666675</v>
      </c>
      <c r="CM22" s="68" t="s">
        <v>24</v>
      </c>
      <c r="CN22" s="196">
        <v>350000000000</v>
      </c>
      <c r="CO22" s="196">
        <f t="shared" si="13"/>
        <v>130056669773.33336</v>
      </c>
      <c r="CP22" s="196">
        <f t="shared" si="14"/>
        <v>0</v>
      </c>
      <c r="CQ22" s="204">
        <f>CO22/'EmUSD - EmR$'!$C$8</f>
        <v>3.941111205252526E-2</v>
      </c>
      <c r="CR22" s="204">
        <f>CP22/'EmUSD - EmR$'!$C$8</f>
        <v>0</v>
      </c>
    </row>
    <row r="23" spans="2:96" ht="15" customHeight="1" x14ac:dyDescent="0.25">
      <c r="B23" s="172">
        <v>18</v>
      </c>
      <c r="C23" s="195" t="s">
        <v>294</v>
      </c>
      <c r="D23" s="258">
        <v>1</v>
      </c>
      <c r="E23" s="258">
        <v>0</v>
      </c>
      <c r="F23" s="205">
        <f>'9 -18 Nutrientes solo prof.'!N7</f>
        <v>6.2993546666666666E-4</v>
      </c>
      <c r="G23" s="68" t="s">
        <v>24</v>
      </c>
      <c r="H23" s="196">
        <v>72000000000</v>
      </c>
      <c r="I23" s="196">
        <f t="shared" si="0"/>
        <v>45355353.600000001</v>
      </c>
      <c r="J23" s="196">
        <f t="shared" si="1"/>
        <v>0</v>
      </c>
      <c r="K23" s="204">
        <f>I23/'EmUSD - EmR$'!$C$8</f>
        <v>1.3744046545454546E-5</v>
      </c>
      <c r="L23" s="204">
        <f>J23/'EmUSD - EmR$'!$C$8</f>
        <v>0</v>
      </c>
      <c r="N23" s="236">
        <v>18</v>
      </c>
      <c r="O23" s="195" t="s">
        <v>294</v>
      </c>
      <c r="P23" s="258">
        <v>1</v>
      </c>
      <c r="Q23" s="258">
        <v>0</v>
      </c>
      <c r="R23" s="205">
        <f>'9 -18 Nutrientes solo prof.'!N7+F23</f>
        <v>1.2598709333333333E-3</v>
      </c>
      <c r="S23" s="68" t="s">
        <v>24</v>
      </c>
      <c r="T23" s="196">
        <v>72000000000</v>
      </c>
      <c r="U23" s="196">
        <f t="shared" si="2"/>
        <v>90710707.200000003</v>
      </c>
      <c r="V23" s="196">
        <f t="shared" si="3"/>
        <v>0</v>
      </c>
      <c r="W23" s="204">
        <f>U23/'EmUSD - EmR$'!$C$8</f>
        <v>2.7488093090909091E-5</v>
      </c>
      <c r="X23" s="204">
        <f>V23/'EmUSD - EmR$'!$C$8</f>
        <v>0</v>
      </c>
      <c r="Z23" s="468">
        <v>18</v>
      </c>
      <c r="AA23" s="195" t="s">
        <v>294</v>
      </c>
      <c r="AB23" s="258">
        <v>1</v>
      </c>
      <c r="AC23" s="258">
        <v>0</v>
      </c>
      <c r="AD23" s="205">
        <f>'9 -18 Nutrientes solo prof.'!N26</f>
        <v>9.4490320000000004E-4</v>
      </c>
      <c r="AE23" s="68" t="s">
        <v>24</v>
      </c>
      <c r="AF23" s="196">
        <v>72000000000</v>
      </c>
      <c r="AG23" s="196">
        <f t="shared" si="15"/>
        <v>68033030.400000006</v>
      </c>
      <c r="AH23" s="196">
        <f t="shared" si="4"/>
        <v>0</v>
      </c>
      <c r="AI23" s="204">
        <f>AG23/'EmUSD - EmR$'!$C$8</f>
        <v>2.0616069818181818E-5</v>
      </c>
      <c r="AJ23" s="204">
        <f>AH23/'EmUSD - EmR$'!$C$8</f>
        <v>0</v>
      </c>
      <c r="AL23" s="468">
        <v>18</v>
      </c>
      <c r="AM23" s="195" t="s">
        <v>294</v>
      </c>
      <c r="AN23" s="258">
        <v>1</v>
      </c>
      <c r="AO23" s="258">
        <v>0</v>
      </c>
      <c r="AP23" s="205">
        <f>'9 -18 Nutrientes solo prof.'!N28</f>
        <v>5.2573053333333335E-3</v>
      </c>
      <c r="AQ23" s="68" t="s">
        <v>24</v>
      </c>
      <c r="AR23" s="196">
        <v>72000000000</v>
      </c>
      <c r="AS23" s="196">
        <f t="shared" si="5"/>
        <v>378525984</v>
      </c>
      <c r="AT23" s="196">
        <f t="shared" si="6"/>
        <v>0</v>
      </c>
      <c r="AU23" s="204">
        <f>AS23/'EmUSD - EmR$'!$C$8</f>
        <v>1.1470484363636364E-4</v>
      </c>
      <c r="AV23" s="204">
        <f>AT23/'EmUSD - EmR$'!$C$8</f>
        <v>0</v>
      </c>
      <c r="AX23" s="468">
        <v>18</v>
      </c>
      <c r="AY23" s="195" t="s">
        <v>294</v>
      </c>
      <c r="AZ23" s="258">
        <v>1</v>
      </c>
      <c r="BA23" s="258">
        <v>0</v>
      </c>
      <c r="BB23" s="205">
        <f>'9 -18 Nutrientes solo prof.'!N30</f>
        <v>1.0006329600000001E-2</v>
      </c>
      <c r="BC23" s="68" t="s">
        <v>24</v>
      </c>
      <c r="BD23" s="196">
        <v>72000000000</v>
      </c>
      <c r="BE23" s="196">
        <f t="shared" si="7"/>
        <v>720455731.20000005</v>
      </c>
      <c r="BF23" s="196">
        <f t="shared" si="8"/>
        <v>0</v>
      </c>
      <c r="BG23" s="204">
        <f>BE23/'EmUSD - EmR$'!$C$8</f>
        <v>2.1831991854545456E-4</v>
      </c>
      <c r="BH23" s="204">
        <f>BF23/'EmUSD - EmR$'!$C$8</f>
        <v>0</v>
      </c>
      <c r="BJ23" s="468">
        <v>18</v>
      </c>
      <c r="BK23" s="195" t="s">
        <v>294</v>
      </c>
      <c r="BL23" s="258">
        <v>1</v>
      </c>
      <c r="BM23" s="258">
        <v>0</v>
      </c>
      <c r="BN23" s="205">
        <f>'9 -18 Nutrientes solo prof.'!N32</f>
        <v>9.634203600000002E-2</v>
      </c>
      <c r="BO23" s="68" t="s">
        <v>24</v>
      </c>
      <c r="BP23" s="196">
        <v>72000000000</v>
      </c>
      <c r="BQ23" s="196">
        <f t="shared" si="9"/>
        <v>6936626592.000001</v>
      </c>
      <c r="BR23" s="196">
        <f t="shared" si="10"/>
        <v>0</v>
      </c>
      <c r="BS23" s="204">
        <f>BQ23/'EmUSD - EmR$'!$C$8</f>
        <v>2.1020080581818186E-3</v>
      </c>
      <c r="BT23" s="204">
        <f>BR23/'EmUSD - EmR$'!$C$8</f>
        <v>0</v>
      </c>
      <c r="BV23" s="468">
        <v>18</v>
      </c>
      <c r="BW23" s="195" t="s">
        <v>294</v>
      </c>
      <c r="BX23" s="258">
        <v>1</v>
      </c>
      <c r="BY23" s="258">
        <v>0</v>
      </c>
      <c r="BZ23" s="205">
        <f>'9 -18 Nutrientes solo prof.'!N34</f>
        <v>0.15129146666666665</v>
      </c>
      <c r="CA23" s="68" t="s">
        <v>24</v>
      </c>
      <c r="CB23" s="196">
        <v>72000000000</v>
      </c>
      <c r="CC23" s="196">
        <f t="shared" si="11"/>
        <v>10892985599.999998</v>
      </c>
      <c r="CD23" s="196">
        <f t="shared" si="12"/>
        <v>0</v>
      </c>
      <c r="CE23" s="204">
        <f>CC23/'EmUSD - EmR$'!$C$8</f>
        <v>3.3009047272727268E-3</v>
      </c>
      <c r="CF23" s="204">
        <f>CD23/'EmUSD - EmR$'!$C$8</f>
        <v>0</v>
      </c>
      <c r="CH23" s="468">
        <v>18</v>
      </c>
      <c r="CI23" s="195" t="s">
        <v>294</v>
      </c>
      <c r="CJ23" s="258">
        <v>1</v>
      </c>
      <c r="CK23" s="258">
        <v>0</v>
      </c>
      <c r="CL23" s="205">
        <f>'9 -18 Nutrientes solo prof.'!N36</f>
        <v>0.60208605599999998</v>
      </c>
      <c r="CM23" s="68" t="s">
        <v>24</v>
      </c>
      <c r="CN23" s="196">
        <v>72000000000</v>
      </c>
      <c r="CO23" s="196">
        <f t="shared" si="13"/>
        <v>43350196032</v>
      </c>
      <c r="CP23" s="196">
        <f t="shared" si="14"/>
        <v>0</v>
      </c>
      <c r="CQ23" s="204">
        <f>CO23/'EmUSD - EmR$'!$C$8</f>
        <v>1.3136423039999999E-2</v>
      </c>
      <c r="CR23" s="204">
        <f>CP23/'EmUSD - EmR$'!$C$8</f>
        <v>0</v>
      </c>
    </row>
    <row r="24" spans="2:96" s="30" customFormat="1" x14ac:dyDescent="0.25">
      <c r="B24" s="168">
        <v>19</v>
      </c>
      <c r="C24" s="174" t="s">
        <v>313</v>
      </c>
      <c r="D24" s="260">
        <v>1</v>
      </c>
      <c r="E24" s="260">
        <v>0</v>
      </c>
      <c r="F24" s="328">
        <f>'19-31 Restauração'!E178</f>
        <v>109223400</v>
      </c>
      <c r="G24" s="68" t="s">
        <v>437</v>
      </c>
      <c r="H24" s="196">
        <v>255000</v>
      </c>
      <c r="I24" s="196">
        <f t="shared" si="0"/>
        <v>27851967000000</v>
      </c>
      <c r="J24" s="196">
        <f t="shared" si="1"/>
        <v>0</v>
      </c>
      <c r="K24" s="204">
        <f>I24/'EmUSD - EmR$'!$C$8</f>
        <v>8.4399899999999999</v>
      </c>
      <c r="L24" s="204">
        <f>J24/'EmUSD - EmR$'!$C$8</f>
        <v>0</v>
      </c>
      <c r="N24" s="168">
        <v>19</v>
      </c>
      <c r="O24" s="245" t="s">
        <v>313</v>
      </c>
      <c r="P24" s="260">
        <v>1</v>
      </c>
      <c r="Q24" s="260">
        <v>0</v>
      </c>
      <c r="R24" s="328">
        <f>'19-31 Restauração'!F178+F24</f>
        <v>109223400</v>
      </c>
      <c r="S24" s="68" t="s">
        <v>437</v>
      </c>
      <c r="T24" s="196">
        <v>255000</v>
      </c>
      <c r="U24" s="196">
        <f t="shared" si="2"/>
        <v>27851967000000</v>
      </c>
      <c r="V24" s="196">
        <f t="shared" si="3"/>
        <v>0</v>
      </c>
      <c r="W24" s="204">
        <f>U24/'EmUSD - EmR$'!$C$8</f>
        <v>8.4399899999999999</v>
      </c>
      <c r="X24" s="204">
        <f>V24/'EmUSD - EmR$'!$C$8</f>
        <v>0</v>
      </c>
      <c r="Z24" s="168">
        <v>19</v>
      </c>
      <c r="AA24" s="245" t="s">
        <v>313</v>
      </c>
      <c r="AB24" s="260">
        <v>1</v>
      </c>
      <c r="AC24" s="260">
        <v>0</v>
      </c>
      <c r="AD24" s="328">
        <f>F24</f>
        <v>109223400</v>
      </c>
      <c r="AE24" s="68" t="s">
        <v>437</v>
      </c>
      <c r="AF24" s="196">
        <v>255000</v>
      </c>
      <c r="AG24" s="196">
        <f t="shared" si="15"/>
        <v>27851967000000</v>
      </c>
      <c r="AH24" s="196">
        <f t="shared" si="4"/>
        <v>0</v>
      </c>
      <c r="AI24" s="204">
        <f>AG24/'EmUSD - EmR$'!$C$8</f>
        <v>8.4399899999999999</v>
      </c>
      <c r="AJ24" s="204">
        <f>AH24/'EmUSD - EmR$'!$C$8</f>
        <v>0</v>
      </c>
      <c r="AL24" s="168">
        <v>19</v>
      </c>
      <c r="AM24" s="245" t="s">
        <v>313</v>
      </c>
      <c r="AN24" s="260">
        <v>1</v>
      </c>
      <c r="AO24" s="260">
        <v>0</v>
      </c>
      <c r="AP24" s="328">
        <v>109223400</v>
      </c>
      <c r="AQ24" s="68" t="s">
        <v>437</v>
      </c>
      <c r="AR24" s="196">
        <v>255000</v>
      </c>
      <c r="AS24" s="196">
        <f t="shared" si="5"/>
        <v>27851967000000</v>
      </c>
      <c r="AT24" s="196">
        <f t="shared" si="6"/>
        <v>0</v>
      </c>
      <c r="AU24" s="204">
        <f>AS24/'EmUSD - EmR$'!$C$8</f>
        <v>8.4399899999999999</v>
      </c>
      <c r="AV24" s="204">
        <f>AT24/'EmUSD - EmR$'!$C$8</f>
        <v>0</v>
      </c>
      <c r="AX24" s="168">
        <v>19</v>
      </c>
      <c r="AY24" s="245" t="s">
        <v>313</v>
      </c>
      <c r="AZ24" s="260">
        <v>1</v>
      </c>
      <c r="BA24" s="260">
        <v>0</v>
      </c>
      <c r="BB24" s="328">
        <v>109223400</v>
      </c>
      <c r="BC24" s="68" t="s">
        <v>437</v>
      </c>
      <c r="BD24" s="196">
        <v>255000</v>
      </c>
      <c r="BE24" s="196">
        <f t="shared" si="7"/>
        <v>27851967000000</v>
      </c>
      <c r="BF24" s="196">
        <f t="shared" si="8"/>
        <v>0</v>
      </c>
      <c r="BG24" s="204">
        <f>BE24/'EmUSD - EmR$'!$C$8</f>
        <v>8.4399899999999999</v>
      </c>
      <c r="BH24" s="204">
        <f>BF24/'EmUSD - EmR$'!$C$8</f>
        <v>0</v>
      </c>
      <c r="BJ24" s="168">
        <v>19</v>
      </c>
      <c r="BK24" s="245" t="s">
        <v>313</v>
      </c>
      <c r="BL24" s="260">
        <v>1</v>
      </c>
      <c r="BM24" s="260">
        <v>0</v>
      </c>
      <c r="BN24" s="328">
        <v>109223400</v>
      </c>
      <c r="BO24" s="68" t="s">
        <v>437</v>
      </c>
      <c r="BP24" s="196">
        <v>255000</v>
      </c>
      <c r="BQ24" s="196">
        <f t="shared" si="9"/>
        <v>27851967000000</v>
      </c>
      <c r="BR24" s="196">
        <f t="shared" si="10"/>
        <v>0</v>
      </c>
      <c r="BS24" s="204">
        <f>BQ24/'EmUSD - EmR$'!$C$8</f>
        <v>8.4399899999999999</v>
      </c>
      <c r="BT24" s="204">
        <f>BR24/'EmUSD - EmR$'!$C$8</f>
        <v>0</v>
      </c>
      <c r="BV24" s="168">
        <v>19</v>
      </c>
      <c r="BW24" s="245" t="s">
        <v>313</v>
      </c>
      <c r="BX24" s="260">
        <v>1</v>
      </c>
      <c r="BY24" s="260">
        <v>0</v>
      </c>
      <c r="BZ24" s="328">
        <v>109223400</v>
      </c>
      <c r="CA24" s="68" t="s">
        <v>437</v>
      </c>
      <c r="CB24" s="196">
        <v>255000</v>
      </c>
      <c r="CC24" s="196">
        <f t="shared" si="11"/>
        <v>27851967000000</v>
      </c>
      <c r="CD24" s="196">
        <f t="shared" si="12"/>
        <v>0</v>
      </c>
      <c r="CE24" s="204">
        <f>CC24/'EmUSD - EmR$'!$C$8</f>
        <v>8.4399899999999999</v>
      </c>
      <c r="CF24" s="204">
        <f>CD24/'EmUSD - EmR$'!$C$8</f>
        <v>0</v>
      </c>
      <c r="CH24" s="168">
        <v>19</v>
      </c>
      <c r="CI24" s="245" t="s">
        <v>313</v>
      </c>
      <c r="CJ24" s="260">
        <v>1</v>
      </c>
      <c r="CK24" s="260">
        <v>0</v>
      </c>
      <c r="CL24" s="328">
        <v>109223400</v>
      </c>
      <c r="CM24" s="68" t="s">
        <v>437</v>
      </c>
      <c r="CN24" s="196">
        <v>255000</v>
      </c>
      <c r="CO24" s="196">
        <f t="shared" si="13"/>
        <v>27851967000000</v>
      </c>
      <c r="CP24" s="196">
        <f t="shared" si="14"/>
        <v>0</v>
      </c>
      <c r="CQ24" s="204">
        <f>CO24/'EmUSD - EmR$'!$C$8</f>
        <v>8.4399899999999999</v>
      </c>
      <c r="CR24" s="204">
        <f>CP24/'EmUSD - EmR$'!$C$8</f>
        <v>0</v>
      </c>
    </row>
    <row r="25" spans="2:96" s="30" customFormat="1" x14ac:dyDescent="0.25">
      <c r="B25" s="209" t="s">
        <v>1</v>
      </c>
      <c r="C25" s="190" t="s">
        <v>298</v>
      </c>
      <c r="D25" s="261"/>
      <c r="E25" s="261"/>
      <c r="F25" s="345"/>
      <c r="G25" s="230"/>
      <c r="H25" s="231"/>
      <c r="I25" s="323"/>
      <c r="J25" s="323"/>
      <c r="K25" s="324"/>
      <c r="L25" s="324"/>
      <c r="N25" s="255" t="s">
        <v>1</v>
      </c>
      <c r="O25" s="190" t="s">
        <v>298</v>
      </c>
      <c r="P25" s="261"/>
      <c r="Q25" s="261"/>
      <c r="R25" s="345"/>
      <c r="S25" s="230"/>
      <c r="T25" s="231"/>
      <c r="U25" s="323"/>
      <c r="V25" s="323"/>
      <c r="W25" s="324"/>
      <c r="X25" s="324"/>
      <c r="Z25" s="476" t="s">
        <v>1</v>
      </c>
      <c r="AA25" s="190" t="s">
        <v>298</v>
      </c>
      <c r="AB25" s="261"/>
      <c r="AC25" s="261"/>
      <c r="AD25" s="345"/>
      <c r="AE25" s="230"/>
      <c r="AF25" s="231"/>
      <c r="AG25" s="323"/>
      <c r="AH25" s="323"/>
      <c r="AI25" s="324"/>
      <c r="AJ25" s="324"/>
      <c r="AL25" s="476" t="s">
        <v>1</v>
      </c>
      <c r="AM25" s="190" t="s">
        <v>298</v>
      </c>
      <c r="AN25" s="261"/>
      <c r="AO25" s="261"/>
      <c r="AP25" s="345"/>
      <c r="AQ25" s="230"/>
      <c r="AR25" s="231"/>
      <c r="AS25" s="323"/>
      <c r="AT25" s="323"/>
      <c r="AU25" s="324"/>
      <c r="AV25" s="324"/>
      <c r="AX25" s="476" t="s">
        <v>1</v>
      </c>
      <c r="AY25" s="190" t="s">
        <v>298</v>
      </c>
      <c r="AZ25" s="261"/>
      <c r="BA25" s="261"/>
      <c r="BB25" s="345"/>
      <c r="BC25" s="230"/>
      <c r="BD25" s="231"/>
      <c r="BE25" s="323"/>
      <c r="BF25" s="323"/>
      <c r="BG25" s="324"/>
      <c r="BH25" s="324"/>
      <c r="BJ25" s="476" t="s">
        <v>1</v>
      </c>
      <c r="BK25" s="190" t="s">
        <v>298</v>
      </c>
      <c r="BL25" s="261"/>
      <c r="BM25" s="261"/>
      <c r="BN25" s="345"/>
      <c r="BO25" s="230"/>
      <c r="BP25" s="231"/>
      <c r="BQ25" s="323"/>
      <c r="BR25" s="323"/>
      <c r="BS25" s="324"/>
      <c r="BT25" s="324"/>
      <c r="BV25" s="476" t="s">
        <v>1</v>
      </c>
      <c r="BW25" s="190" t="s">
        <v>298</v>
      </c>
      <c r="BX25" s="261"/>
      <c r="BY25" s="261"/>
      <c r="BZ25" s="345"/>
      <c r="CA25" s="230"/>
      <c r="CB25" s="231"/>
      <c r="CC25" s="323"/>
      <c r="CD25" s="323"/>
      <c r="CE25" s="324"/>
      <c r="CF25" s="324"/>
      <c r="CH25" s="476" t="s">
        <v>1</v>
      </c>
      <c r="CI25" s="190" t="s">
        <v>298</v>
      </c>
      <c r="CJ25" s="261"/>
      <c r="CK25" s="261"/>
      <c r="CL25" s="345"/>
      <c r="CM25" s="230"/>
      <c r="CN25" s="231"/>
      <c r="CO25" s="323"/>
      <c r="CP25" s="323"/>
      <c r="CQ25" s="324"/>
      <c r="CR25" s="324"/>
    </row>
    <row r="26" spans="2:96" s="30" customFormat="1" x14ac:dyDescent="0.25">
      <c r="B26" s="168">
        <v>20</v>
      </c>
      <c r="C26" s="1" t="s">
        <v>25</v>
      </c>
      <c r="D26" s="260">
        <v>0</v>
      </c>
      <c r="E26" s="260">
        <v>1</v>
      </c>
      <c r="F26" s="328">
        <f>'19-31 Restauração'!E180</f>
        <v>400</v>
      </c>
      <c r="G26" s="68" t="s">
        <v>24</v>
      </c>
      <c r="H26" s="196">
        <v>720000000000</v>
      </c>
      <c r="I26" s="196">
        <f>D26*F26*H26</f>
        <v>0</v>
      </c>
      <c r="J26" s="196">
        <f>E26*F26*H26</f>
        <v>288000000000000</v>
      </c>
      <c r="K26" s="204">
        <f>I26/'EmUSD - EmR$'!$C$8</f>
        <v>0</v>
      </c>
      <c r="L26" s="204">
        <f>J26/'EmUSD - EmR$'!$C$8</f>
        <v>87.272727272727266</v>
      </c>
      <c r="N26" s="168">
        <v>20</v>
      </c>
      <c r="O26" s="1" t="s">
        <v>25</v>
      </c>
      <c r="P26" s="260">
        <v>0</v>
      </c>
      <c r="Q26" s="260">
        <v>1</v>
      </c>
      <c r="R26" s="328">
        <f>'19-31 Restauração'!F180+F26</f>
        <v>800</v>
      </c>
      <c r="S26" s="68" t="s">
        <v>24</v>
      </c>
      <c r="T26" s="196">
        <v>720000000000</v>
      </c>
      <c r="U26" s="196">
        <f>P26*R26*T26</f>
        <v>0</v>
      </c>
      <c r="V26" s="196">
        <f>Q26*R26*T26</f>
        <v>576000000000000</v>
      </c>
      <c r="W26" s="204">
        <f>U26/'EmUSD - EmR$'!$C$8</f>
        <v>0</v>
      </c>
      <c r="X26" s="204">
        <f>V26/'EmUSD - EmR$'!$C$8</f>
        <v>174.54545454545453</v>
      </c>
      <c r="Z26" s="168">
        <v>20</v>
      </c>
      <c r="AA26" s="1" t="s">
        <v>25</v>
      </c>
      <c r="AB26" s="260">
        <v>0</v>
      </c>
      <c r="AC26" s="260">
        <v>1</v>
      </c>
      <c r="AD26" s="205">
        <f t="shared" ref="AD26:AD27" si="16">F26*1.5</f>
        <v>600</v>
      </c>
      <c r="AE26" s="68" t="s">
        <v>24</v>
      </c>
      <c r="AF26" s="196">
        <v>720000000000</v>
      </c>
      <c r="AG26" s="196">
        <f>AB26*AD26*AF26</f>
        <v>0</v>
      </c>
      <c r="AH26" s="196">
        <f>AC26*AD26*AF26</f>
        <v>432000000000000</v>
      </c>
      <c r="AI26" s="204">
        <f>AG26/'EmUSD - EmR$'!$C$8</f>
        <v>0</v>
      </c>
      <c r="AJ26" s="204">
        <f>AH26/'EmUSD - EmR$'!$C$8</f>
        <v>130.90909090909091</v>
      </c>
      <c r="AL26" s="168">
        <v>20</v>
      </c>
      <c r="AM26" s="1" t="s">
        <v>25</v>
      </c>
      <c r="AN26" s="260">
        <v>0</v>
      </c>
      <c r="AO26" s="260">
        <v>1</v>
      </c>
      <c r="AP26" s="328">
        <f>R26+('19-31 Restauração'!F26*3)</f>
        <v>920</v>
      </c>
      <c r="AQ26" s="68" t="s">
        <v>24</v>
      </c>
      <c r="AR26" s="196">
        <v>720000000000</v>
      </c>
      <c r="AS26" s="196">
        <f>AN26*AP26*AR26</f>
        <v>0</v>
      </c>
      <c r="AT26" s="196">
        <f>AO26*AP26*AR26</f>
        <v>662400000000000</v>
      </c>
      <c r="AU26" s="204">
        <f>AS26/'EmUSD - EmR$'!$C$8</f>
        <v>0</v>
      </c>
      <c r="AV26" s="204">
        <f>AT26/'EmUSD - EmR$'!$C$8</f>
        <v>200.72727272727272</v>
      </c>
      <c r="AX26" s="168">
        <v>20</v>
      </c>
      <c r="AY26" s="1" t="s">
        <v>25</v>
      </c>
      <c r="AZ26" s="260">
        <v>0</v>
      </c>
      <c r="BA26" s="260">
        <v>1</v>
      </c>
      <c r="BB26" s="328">
        <f>('19-31 Restauração'!F25*2)+('19-31 Restauração'!F26*6)</f>
        <v>1040</v>
      </c>
      <c r="BC26" s="68" t="s">
        <v>24</v>
      </c>
      <c r="BD26" s="196">
        <v>720000000000</v>
      </c>
      <c r="BE26" s="196">
        <f>AZ26*BB26*BD26</f>
        <v>0</v>
      </c>
      <c r="BF26" s="196">
        <f>BA26*BB26*BD26</f>
        <v>748800000000000</v>
      </c>
      <c r="BG26" s="204">
        <f>BE26/'EmUSD - EmR$'!$C$8</f>
        <v>0</v>
      </c>
      <c r="BH26" s="204">
        <f>BF26/'EmUSD - EmR$'!$C$8</f>
        <v>226.90909090909091</v>
      </c>
      <c r="BJ26" s="168">
        <v>20</v>
      </c>
      <c r="BK26" s="1" t="s">
        <v>25</v>
      </c>
      <c r="BL26" s="260">
        <v>0</v>
      </c>
      <c r="BM26" s="260">
        <v>1</v>
      </c>
      <c r="BN26" s="328">
        <f>('19-31 Restauração'!F25*2)+('19-31 Restauração'!F26*12)</f>
        <v>1280</v>
      </c>
      <c r="BO26" s="68" t="s">
        <v>24</v>
      </c>
      <c r="BP26" s="196">
        <v>720000000000</v>
      </c>
      <c r="BQ26" s="196">
        <f>BL26*BN26*BP26</f>
        <v>0</v>
      </c>
      <c r="BR26" s="196">
        <f>BM26*BN26*BP26</f>
        <v>921600000000000</v>
      </c>
      <c r="BS26" s="204">
        <f>BQ26/'EmUSD - EmR$'!$C$8</f>
        <v>0</v>
      </c>
      <c r="BT26" s="204">
        <f>BR26/'EmUSD - EmR$'!$C$8</f>
        <v>279.27272727272725</v>
      </c>
      <c r="BV26" s="168">
        <v>20</v>
      </c>
      <c r="BW26" s="1" t="s">
        <v>25</v>
      </c>
      <c r="BX26" s="260">
        <v>0</v>
      </c>
      <c r="BY26" s="260">
        <v>1</v>
      </c>
      <c r="BZ26" s="328">
        <f>'19-31 Restauração'!F25*2+('19-31 Restauração'!F26*18)</f>
        <v>1520</v>
      </c>
      <c r="CA26" s="68" t="s">
        <v>24</v>
      </c>
      <c r="CB26" s="196">
        <v>720000000000</v>
      </c>
      <c r="CC26" s="196">
        <f>BX26*BZ26*CB26</f>
        <v>0</v>
      </c>
      <c r="CD26" s="196">
        <f>BY26*BZ26*CB26</f>
        <v>1094400000000000</v>
      </c>
      <c r="CE26" s="204">
        <f>CC26/'EmUSD - EmR$'!$C$8</f>
        <v>0</v>
      </c>
      <c r="CF26" s="204">
        <f>CD26/'EmUSD - EmR$'!$C$8</f>
        <v>331.63636363636363</v>
      </c>
      <c r="CH26" s="168">
        <v>20</v>
      </c>
      <c r="CI26" s="1" t="s">
        <v>25</v>
      </c>
      <c r="CJ26" s="260">
        <v>0</v>
      </c>
      <c r="CK26" s="260">
        <v>1</v>
      </c>
      <c r="CL26" s="328">
        <f>'19-31 Restauração'!F25*2+('19-31 Restauração'!F26*24)</f>
        <v>1760</v>
      </c>
      <c r="CM26" s="68" t="s">
        <v>24</v>
      </c>
      <c r="CN26" s="196">
        <v>720000000000</v>
      </c>
      <c r="CO26" s="196">
        <f>CJ26*CL26*CN26</f>
        <v>0</v>
      </c>
      <c r="CP26" s="196">
        <f>CK26*CL26*CN26</f>
        <v>1267200000000000</v>
      </c>
      <c r="CQ26" s="204">
        <f>CO26/'EmUSD - EmR$'!$C$8</f>
        <v>0</v>
      </c>
      <c r="CR26" s="204">
        <f>CP26/'EmUSD - EmR$'!$C$8</f>
        <v>384</v>
      </c>
    </row>
    <row r="27" spans="2:96" s="30" customFormat="1" x14ac:dyDescent="0.25">
      <c r="B27" s="163">
        <v>21</v>
      </c>
      <c r="C27" s="35" t="s">
        <v>255</v>
      </c>
      <c r="D27" s="262">
        <v>0</v>
      </c>
      <c r="E27" s="262">
        <v>1</v>
      </c>
      <c r="F27" s="329">
        <f>'19-31 Restauração'!E181</f>
        <v>23712000</v>
      </c>
      <c r="G27" s="332" t="s">
        <v>437</v>
      </c>
      <c r="H27" s="252">
        <f>H24</f>
        <v>255000</v>
      </c>
      <c r="I27" s="196">
        <f>D27*F27*H27</f>
        <v>0</v>
      </c>
      <c r="J27" s="196">
        <f>E27*F27*H27</f>
        <v>6046560000000</v>
      </c>
      <c r="K27" s="204">
        <f>I27/'EmUSD - EmR$'!$C$8</f>
        <v>0</v>
      </c>
      <c r="L27" s="204">
        <f>J27/'EmUSD - EmR$'!$C$8</f>
        <v>1.8322909090909092</v>
      </c>
      <c r="N27" s="163">
        <v>21</v>
      </c>
      <c r="O27" s="35" t="s">
        <v>255</v>
      </c>
      <c r="P27" s="262">
        <v>0</v>
      </c>
      <c r="Q27" s="262">
        <v>1</v>
      </c>
      <c r="R27" s="329">
        <f>'19-31 Restauração'!F181+F27</f>
        <v>47424000</v>
      </c>
      <c r="S27" s="332" t="s">
        <v>437</v>
      </c>
      <c r="T27" s="252">
        <f>T24</f>
        <v>255000</v>
      </c>
      <c r="U27" s="196">
        <f>P27*R27*T27</f>
        <v>0</v>
      </c>
      <c r="V27" s="196">
        <f>Q27*R27*T27</f>
        <v>12093120000000</v>
      </c>
      <c r="W27" s="204">
        <f>U27/'EmUSD - EmR$'!$C$8</f>
        <v>0</v>
      </c>
      <c r="X27" s="204">
        <f>V27/'EmUSD - EmR$'!$C$8</f>
        <v>3.6645818181818184</v>
      </c>
      <c r="Z27" s="163">
        <v>21</v>
      </c>
      <c r="AA27" s="35" t="s">
        <v>255</v>
      </c>
      <c r="AB27" s="262">
        <v>0</v>
      </c>
      <c r="AC27" s="262">
        <v>1</v>
      </c>
      <c r="AD27" s="335">
        <f t="shared" si="16"/>
        <v>35568000</v>
      </c>
      <c r="AE27" s="332" t="s">
        <v>437</v>
      </c>
      <c r="AF27" s="252">
        <f>AF24</f>
        <v>255000</v>
      </c>
      <c r="AG27" s="196">
        <f>AB27*AD27*AF27</f>
        <v>0</v>
      </c>
      <c r="AH27" s="196">
        <f>AC27*AD27*AF27</f>
        <v>9069840000000</v>
      </c>
      <c r="AI27" s="204">
        <f>AG27/'EmUSD - EmR$'!$C$8</f>
        <v>0</v>
      </c>
      <c r="AJ27" s="204">
        <f>AH27/'EmUSD - EmR$'!$C$8</f>
        <v>2.7484363636363636</v>
      </c>
      <c r="AL27" s="163">
        <v>21</v>
      </c>
      <c r="AM27" s="35" t="s">
        <v>255</v>
      </c>
      <c r="AN27" s="262">
        <v>0</v>
      </c>
      <c r="AO27" s="262">
        <v>1</v>
      </c>
      <c r="AP27" s="329">
        <v>47424000</v>
      </c>
      <c r="AQ27" s="332" t="s">
        <v>437</v>
      </c>
      <c r="AR27" s="252">
        <f>AR24</f>
        <v>255000</v>
      </c>
      <c r="AS27" s="196">
        <f>AN27*AP27*AR27</f>
        <v>0</v>
      </c>
      <c r="AT27" s="196">
        <f>AO27*AP27*AR27</f>
        <v>12093120000000</v>
      </c>
      <c r="AU27" s="204">
        <f>AS27/'EmUSD - EmR$'!$C$8</f>
        <v>0</v>
      </c>
      <c r="AV27" s="204">
        <f>AT27/'EmUSD - EmR$'!$C$8</f>
        <v>3.6645818181818184</v>
      </c>
      <c r="AX27" s="163">
        <v>21</v>
      </c>
      <c r="AY27" s="35" t="s">
        <v>255</v>
      </c>
      <c r="AZ27" s="262">
        <v>0</v>
      </c>
      <c r="BA27" s="262">
        <v>1</v>
      </c>
      <c r="BB27" s="329">
        <v>47424000</v>
      </c>
      <c r="BC27" s="332" t="s">
        <v>437</v>
      </c>
      <c r="BD27" s="252">
        <f>BD24</f>
        <v>255000</v>
      </c>
      <c r="BE27" s="196">
        <f>AZ27*BB27*BD27</f>
        <v>0</v>
      </c>
      <c r="BF27" s="196">
        <f>BA27*BB27*BD27</f>
        <v>12093120000000</v>
      </c>
      <c r="BG27" s="204">
        <f>BE27/'EmUSD - EmR$'!$C$8</f>
        <v>0</v>
      </c>
      <c r="BH27" s="204">
        <f>BF27/'EmUSD - EmR$'!$C$8</f>
        <v>3.6645818181818184</v>
      </c>
      <c r="BJ27" s="163">
        <v>21</v>
      </c>
      <c r="BK27" s="35" t="s">
        <v>255</v>
      </c>
      <c r="BL27" s="262">
        <v>0</v>
      </c>
      <c r="BM27" s="262">
        <v>1</v>
      </c>
      <c r="BN27" s="329">
        <v>47424000</v>
      </c>
      <c r="BO27" s="332" t="s">
        <v>437</v>
      </c>
      <c r="BP27" s="252">
        <f>BP24</f>
        <v>255000</v>
      </c>
      <c r="BQ27" s="196">
        <f>BL27*BN27*BP27</f>
        <v>0</v>
      </c>
      <c r="BR27" s="196">
        <f>BM27*BN27*BP27</f>
        <v>12093120000000</v>
      </c>
      <c r="BS27" s="204">
        <f>BQ27/'EmUSD - EmR$'!$C$8</f>
        <v>0</v>
      </c>
      <c r="BT27" s="204">
        <f>BR27/'EmUSD - EmR$'!$C$8</f>
        <v>3.6645818181818184</v>
      </c>
      <c r="BV27" s="163">
        <v>21</v>
      </c>
      <c r="BW27" s="35" t="s">
        <v>255</v>
      </c>
      <c r="BX27" s="262">
        <v>0</v>
      </c>
      <c r="BY27" s="262">
        <v>1</v>
      </c>
      <c r="BZ27" s="329">
        <v>47424000</v>
      </c>
      <c r="CA27" s="332" t="s">
        <v>437</v>
      </c>
      <c r="CB27" s="252">
        <f>CB24</f>
        <v>255000</v>
      </c>
      <c r="CC27" s="196">
        <f>BX27*BZ27*CB27</f>
        <v>0</v>
      </c>
      <c r="CD27" s="196">
        <f>BY27*BZ27*CB27</f>
        <v>12093120000000</v>
      </c>
      <c r="CE27" s="204">
        <f>CC27/'EmUSD - EmR$'!$C$8</f>
        <v>0</v>
      </c>
      <c r="CF27" s="204">
        <f>CD27/'EmUSD - EmR$'!$C$8</f>
        <v>3.6645818181818184</v>
      </c>
      <c r="CH27" s="163">
        <v>21</v>
      </c>
      <c r="CI27" s="35" t="s">
        <v>255</v>
      </c>
      <c r="CJ27" s="262">
        <v>0</v>
      </c>
      <c r="CK27" s="262">
        <v>1</v>
      </c>
      <c r="CL27" s="329">
        <v>47424000</v>
      </c>
      <c r="CM27" s="332" t="s">
        <v>437</v>
      </c>
      <c r="CN27" s="252">
        <f>CN24</f>
        <v>255000</v>
      </c>
      <c r="CO27" s="196">
        <f>CJ27*CL27*CN27</f>
        <v>0</v>
      </c>
      <c r="CP27" s="196">
        <f>CK27*CL27*CN27</f>
        <v>12093120000000</v>
      </c>
      <c r="CQ27" s="204">
        <f>CO27/'EmUSD - EmR$'!$C$8</f>
        <v>0</v>
      </c>
      <c r="CR27" s="204">
        <f>CP27/'EmUSD - EmR$'!$C$8</f>
        <v>3.6645818181818184</v>
      </c>
    </row>
    <row r="28" spans="2:96" s="30" customFormat="1" x14ac:dyDescent="0.25">
      <c r="B28" s="173" t="s">
        <v>303</v>
      </c>
      <c r="C28" s="37" t="s">
        <v>304</v>
      </c>
      <c r="D28" s="262"/>
      <c r="E28" s="262"/>
      <c r="F28" s="329"/>
      <c r="G28" s="73"/>
      <c r="H28" s="240"/>
      <c r="I28" s="323"/>
      <c r="J28" s="323"/>
      <c r="K28" s="324"/>
      <c r="L28" s="324"/>
      <c r="N28" s="243" t="s">
        <v>303</v>
      </c>
      <c r="O28" s="37" t="s">
        <v>304</v>
      </c>
      <c r="P28" s="262"/>
      <c r="Q28" s="262"/>
      <c r="R28" s="329"/>
      <c r="S28" s="73"/>
      <c r="T28" s="240"/>
      <c r="U28" s="323"/>
      <c r="V28" s="323"/>
      <c r="W28" s="324"/>
      <c r="X28" s="324"/>
      <c r="Z28" s="475" t="s">
        <v>303</v>
      </c>
      <c r="AA28" s="37" t="s">
        <v>304</v>
      </c>
      <c r="AB28" s="262"/>
      <c r="AC28" s="262"/>
      <c r="AD28" s="329"/>
      <c r="AE28" s="73"/>
      <c r="AF28" s="240"/>
      <c r="AG28" s="323"/>
      <c r="AH28" s="323"/>
      <c r="AI28" s="324"/>
      <c r="AJ28" s="324"/>
      <c r="AL28" s="475" t="s">
        <v>303</v>
      </c>
      <c r="AM28" s="37" t="s">
        <v>304</v>
      </c>
      <c r="AN28" s="262"/>
      <c r="AO28" s="262"/>
      <c r="AP28" s="329"/>
      <c r="AQ28" s="73"/>
      <c r="AR28" s="239"/>
      <c r="AS28" s="323"/>
      <c r="AT28" s="323"/>
      <c r="AU28" s="324"/>
      <c r="AV28" s="324"/>
      <c r="AX28" s="475" t="s">
        <v>303</v>
      </c>
      <c r="AY28" s="37" t="s">
        <v>304</v>
      </c>
      <c r="AZ28" s="262"/>
      <c r="BA28" s="262"/>
      <c r="BB28" s="329"/>
      <c r="BC28" s="73"/>
      <c r="BD28" s="239"/>
      <c r="BE28" s="323"/>
      <c r="BF28" s="323"/>
      <c r="BG28" s="324"/>
      <c r="BH28" s="324"/>
      <c r="BJ28" s="475" t="s">
        <v>303</v>
      </c>
      <c r="BK28" s="37" t="s">
        <v>304</v>
      </c>
      <c r="BL28" s="262"/>
      <c r="BM28" s="262"/>
      <c r="BN28" s="329"/>
      <c r="BO28" s="73"/>
      <c r="BP28" s="239"/>
      <c r="BQ28" s="323"/>
      <c r="BR28" s="323"/>
      <c r="BS28" s="324"/>
      <c r="BT28" s="324"/>
      <c r="BV28" s="475" t="s">
        <v>303</v>
      </c>
      <c r="BW28" s="37" t="s">
        <v>304</v>
      </c>
      <c r="BX28" s="262"/>
      <c r="BY28" s="262"/>
      <c r="BZ28" s="329"/>
      <c r="CA28" s="73"/>
      <c r="CB28" s="239"/>
      <c r="CC28" s="323"/>
      <c r="CD28" s="323"/>
      <c r="CE28" s="324"/>
      <c r="CF28" s="324"/>
      <c r="CH28" s="475" t="s">
        <v>303</v>
      </c>
      <c r="CI28" s="37" t="s">
        <v>304</v>
      </c>
      <c r="CJ28" s="262"/>
      <c r="CK28" s="262"/>
      <c r="CL28" s="329"/>
      <c r="CM28" s="73"/>
      <c r="CN28" s="239"/>
      <c r="CO28" s="323"/>
      <c r="CP28" s="323"/>
      <c r="CQ28" s="324"/>
      <c r="CR28" s="324"/>
    </row>
    <row r="29" spans="2:96" s="30" customFormat="1" x14ac:dyDescent="0.25">
      <c r="B29" s="168">
        <v>22</v>
      </c>
      <c r="C29" s="30" t="s">
        <v>261</v>
      </c>
      <c r="D29" s="260">
        <v>0.5</v>
      </c>
      <c r="E29" s="260">
        <v>0.5</v>
      </c>
      <c r="F29" s="328">
        <f>'19-31 Restauração'!E184</f>
        <v>724.30546412113233</v>
      </c>
      <c r="G29" s="53" t="s">
        <v>438</v>
      </c>
      <c r="H29" s="505">
        <f>'EmUSD - EmR$'!C8</f>
        <v>3300000000000</v>
      </c>
      <c r="I29" s="196">
        <f t="shared" ref="I29:I37" si="17">D29*F29*H29</f>
        <v>1195104015799868.2</v>
      </c>
      <c r="J29" s="196">
        <f t="shared" ref="J29:J37" si="18">E29*F29*H29</f>
        <v>1195104015799868.2</v>
      </c>
      <c r="K29" s="204">
        <f>I29/'EmUSD - EmR$'!$C$8</f>
        <v>362.15273206056611</v>
      </c>
      <c r="L29" s="204">
        <f>J29/'EmUSD - EmR$'!$C$8</f>
        <v>362.15273206056611</v>
      </c>
      <c r="N29" s="168">
        <v>22</v>
      </c>
      <c r="O29" s="30" t="s">
        <v>261</v>
      </c>
      <c r="P29" s="260">
        <v>0.5</v>
      </c>
      <c r="Q29" s="260">
        <v>0.5</v>
      </c>
      <c r="R29" s="328">
        <f>'19-31 Restauração'!F184+F29</f>
        <v>724.30546412113233</v>
      </c>
      <c r="S29" s="53" t="s">
        <v>438</v>
      </c>
      <c r="T29" s="505">
        <f>'EmUSD - EmR$'!C8</f>
        <v>3300000000000</v>
      </c>
      <c r="U29" s="196">
        <f t="shared" ref="U29:U37" si="19">P29*R29*T29</f>
        <v>1195104015799868.2</v>
      </c>
      <c r="V29" s="196">
        <f t="shared" ref="V29:V37" si="20">Q29*R29*T29</f>
        <v>1195104015799868.2</v>
      </c>
      <c r="W29" s="204">
        <f>U29/'EmUSD - EmR$'!$C$8</f>
        <v>362.15273206056611</v>
      </c>
      <c r="X29" s="204">
        <f>V29/'EmUSD - EmR$'!$C$8</f>
        <v>362.15273206056611</v>
      </c>
      <c r="Z29" s="168">
        <v>22</v>
      </c>
      <c r="AA29" s="30" t="s">
        <v>261</v>
      </c>
      <c r="AB29" s="260">
        <v>0.5</v>
      </c>
      <c r="AC29" s="260">
        <v>0.5</v>
      </c>
      <c r="AD29" s="328">
        <f>'19-31 Restauração'!R184+R29</f>
        <v>724.30546412113233</v>
      </c>
      <c r="AE29" s="53" t="s">
        <v>438</v>
      </c>
      <c r="AF29" s="505">
        <v>3300000000000</v>
      </c>
      <c r="AG29" s="196">
        <f t="shared" ref="AG29:AG37" si="21">AB29*AD29*AF29</f>
        <v>1195104015799868.2</v>
      </c>
      <c r="AH29" s="196">
        <f t="shared" ref="AH29:AH37" si="22">AC29*AD29*AF29</f>
        <v>1195104015799868.2</v>
      </c>
      <c r="AI29" s="204">
        <f>AG29/'EmUSD - EmR$'!$C$8</f>
        <v>362.15273206056611</v>
      </c>
      <c r="AJ29" s="204">
        <f>AH29/'EmUSD - EmR$'!$C$8</f>
        <v>362.15273206056611</v>
      </c>
      <c r="AL29" s="168">
        <v>22</v>
      </c>
      <c r="AM29" s="30" t="s">
        <v>261</v>
      </c>
      <c r="AN29" s="260">
        <v>0.5</v>
      </c>
      <c r="AO29" s="260">
        <v>0.5</v>
      </c>
      <c r="AP29" s="328">
        <v>724.30546412113233</v>
      </c>
      <c r="AQ29" s="53" t="s">
        <v>438</v>
      </c>
      <c r="AR29" s="505">
        <v>3300000000000</v>
      </c>
      <c r="AS29" s="196">
        <f t="shared" ref="AS29:AS37" si="23">AN29*AP29*AR29</f>
        <v>1195104015799868.2</v>
      </c>
      <c r="AT29" s="196">
        <f t="shared" ref="AT29:AT37" si="24">AO29*AP29*AR29</f>
        <v>1195104015799868.2</v>
      </c>
      <c r="AU29" s="204">
        <f>AS29/'EmUSD - EmR$'!$C$8</f>
        <v>362.15273206056611</v>
      </c>
      <c r="AV29" s="204">
        <f>AT29/'EmUSD - EmR$'!$C$8</f>
        <v>362.15273206056611</v>
      </c>
      <c r="AX29" s="168">
        <v>22</v>
      </c>
      <c r="AY29" s="30" t="s">
        <v>261</v>
      </c>
      <c r="AZ29" s="260">
        <v>0.5</v>
      </c>
      <c r="BA29" s="260">
        <v>0.5</v>
      </c>
      <c r="BB29" s="328">
        <v>724.30546412113233</v>
      </c>
      <c r="BC29" s="53" t="s">
        <v>438</v>
      </c>
      <c r="BD29" s="505">
        <v>3300000000000</v>
      </c>
      <c r="BE29" s="196">
        <f t="shared" ref="BE29:BE37" si="25">AZ29*BB29*BD29</f>
        <v>1195104015799868.2</v>
      </c>
      <c r="BF29" s="196">
        <f t="shared" ref="BF29:BF37" si="26">BA29*BB29*BD29</f>
        <v>1195104015799868.2</v>
      </c>
      <c r="BG29" s="204">
        <f>BE29/'EmUSD - EmR$'!$C$8</f>
        <v>362.15273206056611</v>
      </c>
      <c r="BH29" s="204">
        <f>BF29/'EmUSD - EmR$'!$C$8</f>
        <v>362.15273206056611</v>
      </c>
      <c r="BJ29" s="168">
        <v>22</v>
      </c>
      <c r="BK29" s="30" t="s">
        <v>261</v>
      </c>
      <c r="BL29" s="260">
        <v>0.5</v>
      </c>
      <c r="BM29" s="260">
        <v>0.5</v>
      </c>
      <c r="BN29" s="328">
        <v>724.30546412113233</v>
      </c>
      <c r="BO29" s="53" t="s">
        <v>438</v>
      </c>
      <c r="BP29" s="505">
        <v>3300000000000</v>
      </c>
      <c r="BQ29" s="196">
        <f t="shared" ref="BQ29:BQ37" si="27">BL29*BN29*BP29</f>
        <v>1195104015799868.2</v>
      </c>
      <c r="BR29" s="196">
        <f t="shared" ref="BR29:BR37" si="28">BM29*BN29*BP29</f>
        <v>1195104015799868.2</v>
      </c>
      <c r="BS29" s="204">
        <f>BQ29/'EmUSD - EmR$'!$C$8</f>
        <v>362.15273206056611</v>
      </c>
      <c r="BT29" s="204">
        <f>BR29/'EmUSD - EmR$'!$C$8</f>
        <v>362.15273206056611</v>
      </c>
      <c r="BV29" s="168">
        <v>22</v>
      </c>
      <c r="BW29" s="30" t="s">
        <v>261</v>
      </c>
      <c r="BX29" s="260">
        <v>0.5</v>
      </c>
      <c r="BY29" s="260">
        <v>0.5</v>
      </c>
      <c r="BZ29" s="328">
        <v>724.30546412113233</v>
      </c>
      <c r="CA29" s="53" t="s">
        <v>438</v>
      </c>
      <c r="CB29" s="505">
        <v>3300000000000</v>
      </c>
      <c r="CC29" s="196">
        <f t="shared" ref="CC29:CC37" si="29">BX29*BZ29*CB29</f>
        <v>1195104015799868.2</v>
      </c>
      <c r="CD29" s="196">
        <f t="shared" ref="CD29:CD37" si="30">BY29*BZ29*CB29</f>
        <v>1195104015799868.2</v>
      </c>
      <c r="CE29" s="204">
        <f>CC29/'EmUSD - EmR$'!$C$8</f>
        <v>362.15273206056611</v>
      </c>
      <c r="CF29" s="204">
        <f>CD29/'EmUSD - EmR$'!$C$8</f>
        <v>362.15273206056611</v>
      </c>
      <c r="CH29" s="168">
        <v>22</v>
      </c>
      <c r="CI29" s="30" t="s">
        <v>261</v>
      </c>
      <c r="CJ29" s="260">
        <v>0.5</v>
      </c>
      <c r="CK29" s="260">
        <v>0.5</v>
      </c>
      <c r="CL29" s="328">
        <v>724.30546412113233</v>
      </c>
      <c r="CM29" s="53" t="s">
        <v>438</v>
      </c>
      <c r="CN29" s="505">
        <v>3300000000000</v>
      </c>
      <c r="CO29" s="196">
        <f t="shared" ref="CO29:CO37" si="31">CJ29*CL29*CN29</f>
        <v>1195104015799868.2</v>
      </c>
      <c r="CP29" s="196">
        <f t="shared" ref="CP29:CP37" si="32">CK29*CL29*CN29</f>
        <v>1195104015799868.2</v>
      </c>
      <c r="CQ29" s="204">
        <f>CO29/'EmUSD - EmR$'!$C$8</f>
        <v>362.15273206056611</v>
      </c>
      <c r="CR29" s="204">
        <f>CP29/'EmUSD - EmR$'!$C$8</f>
        <v>362.15273206056611</v>
      </c>
    </row>
    <row r="30" spans="2:96" s="30" customFormat="1" x14ac:dyDescent="0.25">
      <c r="B30" s="39">
        <v>23</v>
      </c>
      <c r="C30" s="30" t="s">
        <v>159</v>
      </c>
      <c r="D30" s="260">
        <v>0</v>
      </c>
      <c r="E30" s="260">
        <v>1</v>
      </c>
      <c r="F30" s="328">
        <f>'19-31 Restauração'!E185</f>
        <v>12.5</v>
      </c>
      <c r="G30" s="68" t="s">
        <v>24</v>
      </c>
      <c r="H30" s="505">
        <v>1300000000000000</v>
      </c>
      <c r="I30" s="196">
        <f t="shared" si="17"/>
        <v>0</v>
      </c>
      <c r="J30" s="196">
        <f t="shared" si="18"/>
        <v>1.625E+16</v>
      </c>
      <c r="K30" s="204">
        <f>I30/'EmUSD - EmR$'!$C$8</f>
        <v>0</v>
      </c>
      <c r="L30" s="204">
        <f>J30/'EmUSD - EmR$'!$C$8</f>
        <v>4924.242424242424</v>
      </c>
      <c r="N30" s="39">
        <v>23</v>
      </c>
      <c r="O30" s="30" t="s">
        <v>159</v>
      </c>
      <c r="P30" s="260">
        <v>0</v>
      </c>
      <c r="Q30" s="260">
        <v>1</v>
      </c>
      <c r="R30" s="328">
        <f>'19-31 Restauração'!F185+F30</f>
        <v>24.5</v>
      </c>
      <c r="S30" s="68" t="s">
        <v>24</v>
      </c>
      <c r="T30" s="505">
        <v>1300000000000000</v>
      </c>
      <c r="U30" s="196">
        <f t="shared" si="19"/>
        <v>0</v>
      </c>
      <c r="V30" s="196">
        <f t="shared" si="20"/>
        <v>3.185E+16</v>
      </c>
      <c r="W30" s="204">
        <f>U30/'EmUSD - EmR$'!$C$8</f>
        <v>0</v>
      </c>
      <c r="X30" s="204">
        <f>V30/'EmUSD - EmR$'!$C$8</f>
        <v>9651.515151515152</v>
      </c>
      <c r="Z30" s="39">
        <v>23</v>
      </c>
      <c r="AA30" s="30" t="s">
        <v>159</v>
      </c>
      <c r="AB30" s="260">
        <v>0</v>
      </c>
      <c r="AC30" s="260">
        <v>1</v>
      </c>
      <c r="AD30" s="328">
        <f>F30+('19-31 Restauração'!F185/2)</f>
        <v>18.5</v>
      </c>
      <c r="AE30" s="68" t="s">
        <v>24</v>
      </c>
      <c r="AF30" s="505">
        <v>1300000000000000</v>
      </c>
      <c r="AG30" s="196">
        <f t="shared" si="21"/>
        <v>0</v>
      </c>
      <c r="AH30" s="196">
        <f t="shared" si="22"/>
        <v>2.405E+16</v>
      </c>
      <c r="AI30" s="204">
        <f>AG30/'EmUSD - EmR$'!$C$8</f>
        <v>0</v>
      </c>
      <c r="AJ30" s="204">
        <f>AH30/'EmUSD - EmR$'!$C$8</f>
        <v>7287.878787878788</v>
      </c>
      <c r="AL30" s="39">
        <v>23</v>
      </c>
      <c r="AM30" s="30" t="s">
        <v>159</v>
      </c>
      <c r="AN30" s="260">
        <v>0</v>
      </c>
      <c r="AO30" s="260">
        <v>1</v>
      </c>
      <c r="AP30" s="328">
        <v>24.5</v>
      </c>
      <c r="AQ30" s="68" t="s">
        <v>24</v>
      </c>
      <c r="AR30" s="505">
        <v>1300000000000000</v>
      </c>
      <c r="AS30" s="196">
        <f t="shared" si="23"/>
        <v>0</v>
      </c>
      <c r="AT30" s="196">
        <f t="shared" si="24"/>
        <v>3.185E+16</v>
      </c>
      <c r="AU30" s="204">
        <f>AS30/'EmUSD - EmR$'!$C$8</f>
        <v>0</v>
      </c>
      <c r="AV30" s="204">
        <f>AT30/'EmUSD - EmR$'!$C$8</f>
        <v>9651.515151515152</v>
      </c>
      <c r="AX30" s="39">
        <v>23</v>
      </c>
      <c r="AY30" s="30" t="s">
        <v>159</v>
      </c>
      <c r="AZ30" s="260">
        <v>0</v>
      </c>
      <c r="BA30" s="260">
        <v>1</v>
      </c>
      <c r="BB30" s="328">
        <v>24.5</v>
      </c>
      <c r="BC30" s="68" t="s">
        <v>24</v>
      </c>
      <c r="BD30" s="505">
        <v>1300000000000000</v>
      </c>
      <c r="BE30" s="196">
        <f t="shared" si="25"/>
        <v>0</v>
      </c>
      <c r="BF30" s="196">
        <f t="shared" si="26"/>
        <v>3.185E+16</v>
      </c>
      <c r="BG30" s="204">
        <f>BE30/'EmUSD - EmR$'!$C$8</f>
        <v>0</v>
      </c>
      <c r="BH30" s="204">
        <f>BF30/'EmUSD - EmR$'!$C$8</f>
        <v>9651.515151515152</v>
      </c>
      <c r="BJ30" s="39">
        <v>23</v>
      </c>
      <c r="BK30" s="30" t="s">
        <v>159</v>
      </c>
      <c r="BL30" s="260">
        <v>0</v>
      </c>
      <c r="BM30" s="260">
        <v>1</v>
      </c>
      <c r="BN30" s="328">
        <v>24.5</v>
      </c>
      <c r="BO30" s="68" t="s">
        <v>24</v>
      </c>
      <c r="BP30" s="505">
        <v>1300000000000000</v>
      </c>
      <c r="BQ30" s="196">
        <f t="shared" si="27"/>
        <v>0</v>
      </c>
      <c r="BR30" s="196">
        <f t="shared" si="28"/>
        <v>3.185E+16</v>
      </c>
      <c r="BS30" s="204">
        <f>BQ30/'EmUSD - EmR$'!$C$8</f>
        <v>0</v>
      </c>
      <c r="BT30" s="204">
        <f>BR30/'EmUSD - EmR$'!$C$8</f>
        <v>9651.515151515152</v>
      </c>
      <c r="BV30" s="39">
        <v>23</v>
      </c>
      <c r="BW30" s="30" t="s">
        <v>159</v>
      </c>
      <c r="BX30" s="260">
        <v>0</v>
      </c>
      <c r="BY30" s="260">
        <v>1</v>
      </c>
      <c r="BZ30" s="328">
        <v>24.5</v>
      </c>
      <c r="CA30" s="68" t="s">
        <v>24</v>
      </c>
      <c r="CB30" s="505">
        <v>1300000000000000</v>
      </c>
      <c r="CC30" s="196">
        <f t="shared" si="29"/>
        <v>0</v>
      </c>
      <c r="CD30" s="196">
        <f t="shared" si="30"/>
        <v>3.185E+16</v>
      </c>
      <c r="CE30" s="204">
        <f>CC30/'EmUSD - EmR$'!$C$8</f>
        <v>0</v>
      </c>
      <c r="CF30" s="204">
        <f>CD30/'EmUSD - EmR$'!$C$8</f>
        <v>9651.515151515152</v>
      </c>
      <c r="CH30" s="39">
        <v>23</v>
      </c>
      <c r="CI30" s="30" t="s">
        <v>159</v>
      </c>
      <c r="CJ30" s="260">
        <v>0</v>
      </c>
      <c r="CK30" s="260">
        <v>1</v>
      </c>
      <c r="CL30" s="328">
        <v>24.5</v>
      </c>
      <c r="CM30" s="68" t="s">
        <v>24</v>
      </c>
      <c r="CN30" s="505">
        <v>1300000000000000</v>
      </c>
      <c r="CO30" s="196">
        <f t="shared" si="31"/>
        <v>0</v>
      </c>
      <c r="CP30" s="196">
        <f t="shared" si="32"/>
        <v>3.185E+16</v>
      </c>
      <c r="CQ30" s="204">
        <f>CO30/'EmUSD - EmR$'!$C$8</f>
        <v>0</v>
      </c>
      <c r="CR30" s="204">
        <f>CP30/'EmUSD - EmR$'!$C$8</f>
        <v>9651.515151515152</v>
      </c>
    </row>
    <row r="31" spans="2:96" s="30" customFormat="1" x14ac:dyDescent="0.25">
      <c r="B31" s="39">
        <v>24</v>
      </c>
      <c r="C31" s="30" t="s">
        <v>68</v>
      </c>
      <c r="D31" s="260">
        <v>0</v>
      </c>
      <c r="E31" s="260">
        <v>1</v>
      </c>
      <c r="F31" s="328">
        <f>'19-31 Restauração'!E186</f>
        <v>9</v>
      </c>
      <c r="G31" s="68" t="s">
        <v>24</v>
      </c>
      <c r="H31" s="505">
        <v>24800000000000</v>
      </c>
      <c r="I31" s="196">
        <f t="shared" si="17"/>
        <v>0</v>
      </c>
      <c r="J31" s="196">
        <f t="shared" si="18"/>
        <v>223200000000000</v>
      </c>
      <c r="K31" s="204">
        <f>I31/'EmUSD - EmR$'!$C$8</f>
        <v>0</v>
      </c>
      <c r="L31" s="204">
        <f>J31/'EmUSD - EmR$'!$C$8</f>
        <v>67.63636363636364</v>
      </c>
      <c r="N31" s="39">
        <v>24</v>
      </c>
      <c r="O31" s="30" t="s">
        <v>68</v>
      </c>
      <c r="P31" s="260">
        <v>0</v>
      </c>
      <c r="Q31" s="260">
        <v>1</v>
      </c>
      <c r="R31" s="328">
        <f>'19-31 Restauração'!F186+F31</f>
        <v>11</v>
      </c>
      <c r="S31" s="68" t="s">
        <v>24</v>
      </c>
      <c r="T31" s="505">
        <v>24800000000000</v>
      </c>
      <c r="U31" s="196">
        <f t="shared" si="19"/>
        <v>0</v>
      </c>
      <c r="V31" s="196">
        <f t="shared" si="20"/>
        <v>272800000000000</v>
      </c>
      <c r="W31" s="204">
        <f>U31/'EmUSD - EmR$'!$C$8</f>
        <v>0</v>
      </c>
      <c r="X31" s="204">
        <f>V31/'EmUSD - EmR$'!$C$8</f>
        <v>82.666666666666671</v>
      </c>
      <c r="Z31" s="39">
        <v>24</v>
      </c>
      <c r="AA31" s="30" t="s">
        <v>68</v>
      </c>
      <c r="AB31" s="260">
        <v>0</v>
      </c>
      <c r="AC31" s="260">
        <v>1</v>
      </c>
      <c r="AD31" s="328">
        <f>F31+('19-31 Restauração'!F186/2)</f>
        <v>10</v>
      </c>
      <c r="AE31" s="68" t="s">
        <v>24</v>
      </c>
      <c r="AF31" s="505">
        <v>24800000000000</v>
      </c>
      <c r="AG31" s="196">
        <f t="shared" si="21"/>
        <v>0</v>
      </c>
      <c r="AH31" s="196">
        <f t="shared" si="22"/>
        <v>248000000000000</v>
      </c>
      <c r="AI31" s="204">
        <f>AG31/'EmUSD - EmR$'!$C$8</f>
        <v>0</v>
      </c>
      <c r="AJ31" s="204">
        <f>AH31/'EmUSD - EmR$'!$C$8</f>
        <v>75.151515151515156</v>
      </c>
      <c r="AL31" s="39">
        <v>24</v>
      </c>
      <c r="AM31" s="30" t="s">
        <v>68</v>
      </c>
      <c r="AN31" s="260">
        <v>0</v>
      </c>
      <c r="AO31" s="260">
        <v>1</v>
      </c>
      <c r="AP31" s="328">
        <v>11</v>
      </c>
      <c r="AQ31" s="68" t="s">
        <v>24</v>
      </c>
      <c r="AR31" s="505">
        <v>24800000000000</v>
      </c>
      <c r="AS31" s="196">
        <f t="shared" si="23"/>
        <v>0</v>
      </c>
      <c r="AT31" s="196">
        <f t="shared" si="24"/>
        <v>272800000000000</v>
      </c>
      <c r="AU31" s="204">
        <f>AS31/'EmUSD - EmR$'!$C$8</f>
        <v>0</v>
      </c>
      <c r="AV31" s="204">
        <f>AT31/'EmUSD - EmR$'!$C$8</f>
        <v>82.666666666666671</v>
      </c>
      <c r="AX31" s="39">
        <v>24</v>
      </c>
      <c r="AY31" s="30" t="s">
        <v>68</v>
      </c>
      <c r="AZ31" s="260">
        <v>0</v>
      </c>
      <c r="BA31" s="260">
        <v>1</v>
      </c>
      <c r="BB31" s="328">
        <v>11</v>
      </c>
      <c r="BC31" s="68" t="s">
        <v>24</v>
      </c>
      <c r="BD31" s="505">
        <v>24800000000000</v>
      </c>
      <c r="BE31" s="196">
        <f t="shared" si="25"/>
        <v>0</v>
      </c>
      <c r="BF31" s="196">
        <f t="shared" si="26"/>
        <v>272800000000000</v>
      </c>
      <c r="BG31" s="204">
        <f>BE31/'EmUSD - EmR$'!$C$8</f>
        <v>0</v>
      </c>
      <c r="BH31" s="204">
        <f>BF31/'EmUSD - EmR$'!$C$8</f>
        <v>82.666666666666671</v>
      </c>
      <c r="BJ31" s="39">
        <v>24</v>
      </c>
      <c r="BK31" s="30" t="s">
        <v>68</v>
      </c>
      <c r="BL31" s="260">
        <v>0</v>
      </c>
      <c r="BM31" s="260">
        <v>1</v>
      </c>
      <c r="BN31" s="328">
        <v>11</v>
      </c>
      <c r="BO31" s="68" t="s">
        <v>24</v>
      </c>
      <c r="BP31" s="505">
        <v>24800000000000</v>
      </c>
      <c r="BQ31" s="196">
        <f t="shared" si="27"/>
        <v>0</v>
      </c>
      <c r="BR31" s="196">
        <f t="shared" si="28"/>
        <v>272800000000000</v>
      </c>
      <c r="BS31" s="204">
        <f>BQ31/'EmUSD - EmR$'!$C$8</f>
        <v>0</v>
      </c>
      <c r="BT31" s="204">
        <f>BR31/'EmUSD - EmR$'!$C$8</f>
        <v>82.666666666666671</v>
      </c>
      <c r="BV31" s="39">
        <v>24</v>
      </c>
      <c r="BW31" s="30" t="s">
        <v>68</v>
      </c>
      <c r="BX31" s="260">
        <v>0</v>
      </c>
      <c r="BY31" s="260">
        <v>1</v>
      </c>
      <c r="BZ31" s="328">
        <v>11</v>
      </c>
      <c r="CA31" s="68" t="s">
        <v>24</v>
      </c>
      <c r="CB31" s="505">
        <v>24800000000000</v>
      </c>
      <c r="CC31" s="196">
        <f t="shared" si="29"/>
        <v>0</v>
      </c>
      <c r="CD31" s="196">
        <f t="shared" si="30"/>
        <v>272800000000000</v>
      </c>
      <c r="CE31" s="204">
        <f>CC31/'EmUSD - EmR$'!$C$8</f>
        <v>0</v>
      </c>
      <c r="CF31" s="204">
        <f>CD31/'EmUSD - EmR$'!$C$8</f>
        <v>82.666666666666671</v>
      </c>
      <c r="CH31" s="39">
        <v>24</v>
      </c>
      <c r="CI31" s="30" t="s">
        <v>68</v>
      </c>
      <c r="CJ31" s="260">
        <v>0</v>
      </c>
      <c r="CK31" s="260">
        <v>1</v>
      </c>
      <c r="CL31" s="328">
        <v>11</v>
      </c>
      <c r="CM31" s="68" t="s">
        <v>24</v>
      </c>
      <c r="CN31" s="505">
        <v>24800000000000</v>
      </c>
      <c r="CO31" s="196">
        <f t="shared" si="31"/>
        <v>0</v>
      </c>
      <c r="CP31" s="196">
        <f t="shared" si="32"/>
        <v>272800000000000</v>
      </c>
      <c r="CQ31" s="204">
        <f>CO31/'EmUSD - EmR$'!$C$8</f>
        <v>0</v>
      </c>
      <c r="CR31" s="204">
        <f>CP31/'EmUSD - EmR$'!$C$8</f>
        <v>82.666666666666671</v>
      </c>
    </row>
    <row r="32" spans="2:96" s="30" customFormat="1" x14ac:dyDescent="0.25">
      <c r="B32" s="39">
        <v>25</v>
      </c>
      <c r="C32" s="30" t="s">
        <v>67</v>
      </c>
      <c r="D32" s="260">
        <v>0</v>
      </c>
      <c r="E32" s="260">
        <v>1</v>
      </c>
      <c r="F32" s="328">
        <f>'19-31 Restauração'!E187</f>
        <v>260</v>
      </c>
      <c r="G32" s="68" t="s">
        <v>24</v>
      </c>
      <c r="H32" s="505">
        <v>638000000000</v>
      </c>
      <c r="I32" s="196">
        <f t="shared" si="17"/>
        <v>0</v>
      </c>
      <c r="J32" s="196">
        <f t="shared" si="18"/>
        <v>165880000000000</v>
      </c>
      <c r="K32" s="204">
        <f>I32/'EmUSD - EmR$'!$C$8</f>
        <v>0</v>
      </c>
      <c r="L32" s="204">
        <f>J32/'EmUSD - EmR$'!$C$8</f>
        <v>50.266666666666666</v>
      </c>
      <c r="N32" s="39">
        <v>25</v>
      </c>
      <c r="O32" s="30" t="s">
        <v>67</v>
      </c>
      <c r="P32" s="260">
        <v>0</v>
      </c>
      <c r="Q32" s="260">
        <v>1</v>
      </c>
      <c r="R32" s="328">
        <f>'19-31 Restauração'!F187+F32</f>
        <v>260</v>
      </c>
      <c r="S32" s="68" t="s">
        <v>24</v>
      </c>
      <c r="T32" s="505">
        <v>638000000000</v>
      </c>
      <c r="U32" s="196">
        <f t="shared" si="19"/>
        <v>0</v>
      </c>
      <c r="V32" s="196">
        <f t="shared" si="20"/>
        <v>165880000000000</v>
      </c>
      <c r="W32" s="204">
        <f>U32/'EmUSD - EmR$'!$C$8</f>
        <v>0</v>
      </c>
      <c r="X32" s="204">
        <f>V32/'EmUSD - EmR$'!$C$8</f>
        <v>50.266666666666666</v>
      </c>
      <c r="Z32" s="39">
        <v>25</v>
      </c>
      <c r="AA32" s="30" t="s">
        <v>67</v>
      </c>
      <c r="AB32" s="260">
        <v>0</v>
      </c>
      <c r="AC32" s="260">
        <v>1</v>
      </c>
      <c r="AD32" s="328">
        <f>F32+('19-31 Restauração'!F187/2)</f>
        <v>260</v>
      </c>
      <c r="AE32" s="68" t="s">
        <v>24</v>
      </c>
      <c r="AF32" s="505">
        <v>638000000000</v>
      </c>
      <c r="AG32" s="196">
        <f t="shared" si="21"/>
        <v>0</v>
      </c>
      <c r="AH32" s="196">
        <f t="shared" si="22"/>
        <v>165880000000000</v>
      </c>
      <c r="AI32" s="204">
        <f>AG32/'EmUSD - EmR$'!$C$8</f>
        <v>0</v>
      </c>
      <c r="AJ32" s="204">
        <f>AH32/'EmUSD - EmR$'!$C$8</f>
        <v>50.266666666666666</v>
      </c>
      <c r="AL32" s="39">
        <v>25</v>
      </c>
      <c r="AM32" s="30" t="s">
        <v>67</v>
      </c>
      <c r="AN32" s="260">
        <v>0</v>
      </c>
      <c r="AO32" s="260">
        <v>1</v>
      </c>
      <c r="AP32" s="328">
        <v>260</v>
      </c>
      <c r="AQ32" s="68" t="s">
        <v>24</v>
      </c>
      <c r="AR32" s="505">
        <v>638000000000</v>
      </c>
      <c r="AS32" s="196">
        <f t="shared" si="23"/>
        <v>0</v>
      </c>
      <c r="AT32" s="196">
        <f t="shared" si="24"/>
        <v>165880000000000</v>
      </c>
      <c r="AU32" s="204">
        <f>AS32/'EmUSD - EmR$'!$C$8</f>
        <v>0</v>
      </c>
      <c r="AV32" s="204">
        <f>AT32/'EmUSD - EmR$'!$C$8</f>
        <v>50.266666666666666</v>
      </c>
      <c r="AX32" s="39">
        <v>25</v>
      </c>
      <c r="AY32" s="30" t="s">
        <v>67</v>
      </c>
      <c r="AZ32" s="260">
        <v>0</v>
      </c>
      <c r="BA32" s="260">
        <v>1</v>
      </c>
      <c r="BB32" s="328">
        <v>260</v>
      </c>
      <c r="BC32" s="68" t="s">
        <v>24</v>
      </c>
      <c r="BD32" s="505">
        <v>638000000000</v>
      </c>
      <c r="BE32" s="196">
        <f t="shared" si="25"/>
        <v>0</v>
      </c>
      <c r="BF32" s="196">
        <f t="shared" si="26"/>
        <v>165880000000000</v>
      </c>
      <c r="BG32" s="204">
        <f>BE32/'EmUSD - EmR$'!$C$8</f>
        <v>0</v>
      </c>
      <c r="BH32" s="204">
        <f>BF32/'EmUSD - EmR$'!$C$8</f>
        <v>50.266666666666666</v>
      </c>
      <c r="BJ32" s="39">
        <v>25</v>
      </c>
      <c r="BK32" s="30" t="s">
        <v>67</v>
      </c>
      <c r="BL32" s="260">
        <v>0</v>
      </c>
      <c r="BM32" s="260">
        <v>1</v>
      </c>
      <c r="BN32" s="328">
        <v>260</v>
      </c>
      <c r="BO32" s="68" t="s">
        <v>24</v>
      </c>
      <c r="BP32" s="505">
        <v>638000000000</v>
      </c>
      <c r="BQ32" s="196">
        <f t="shared" si="27"/>
        <v>0</v>
      </c>
      <c r="BR32" s="196">
        <f t="shared" si="28"/>
        <v>165880000000000</v>
      </c>
      <c r="BS32" s="204">
        <f>BQ32/'EmUSD - EmR$'!$C$8</f>
        <v>0</v>
      </c>
      <c r="BT32" s="204">
        <f>BR32/'EmUSD - EmR$'!$C$8</f>
        <v>50.266666666666666</v>
      </c>
      <c r="BV32" s="39">
        <v>25</v>
      </c>
      <c r="BW32" s="30" t="s">
        <v>67</v>
      </c>
      <c r="BX32" s="260">
        <v>0</v>
      </c>
      <c r="BY32" s="260">
        <v>1</v>
      </c>
      <c r="BZ32" s="328">
        <v>260</v>
      </c>
      <c r="CA32" s="68" t="s">
        <v>24</v>
      </c>
      <c r="CB32" s="505">
        <v>638000000000</v>
      </c>
      <c r="CC32" s="196">
        <f t="shared" si="29"/>
        <v>0</v>
      </c>
      <c r="CD32" s="196">
        <f t="shared" si="30"/>
        <v>165880000000000</v>
      </c>
      <c r="CE32" s="204">
        <f>CC32/'EmUSD - EmR$'!$C$8</f>
        <v>0</v>
      </c>
      <c r="CF32" s="204">
        <f>CD32/'EmUSD - EmR$'!$C$8</f>
        <v>50.266666666666666</v>
      </c>
      <c r="CH32" s="39">
        <v>25</v>
      </c>
      <c r="CI32" s="30" t="s">
        <v>67</v>
      </c>
      <c r="CJ32" s="260">
        <v>0</v>
      </c>
      <c r="CK32" s="260">
        <v>1</v>
      </c>
      <c r="CL32" s="328">
        <v>260</v>
      </c>
      <c r="CM32" s="68" t="s">
        <v>24</v>
      </c>
      <c r="CN32" s="505">
        <v>638000000000</v>
      </c>
      <c r="CO32" s="196">
        <f t="shared" si="31"/>
        <v>0</v>
      </c>
      <c r="CP32" s="196">
        <f t="shared" si="32"/>
        <v>165880000000000</v>
      </c>
      <c r="CQ32" s="204">
        <f>CO32/'EmUSD - EmR$'!$C$8</f>
        <v>0</v>
      </c>
      <c r="CR32" s="204">
        <f>CP32/'EmUSD - EmR$'!$C$8</f>
        <v>50.266666666666666</v>
      </c>
    </row>
    <row r="33" spans="2:109" s="30" customFormat="1" x14ac:dyDescent="0.25">
      <c r="B33" s="39">
        <v>26</v>
      </c>
      <c r="C33" s="30" t="s">
        <v>188</v>
      </c>
      <c r="D33" s="260">
        <v>0</v>
      </c>
      <c r="E33" s="260">
        <v>1</v>
      </c>
      <c r="F33" s="328">
        <f>'19-31 Restauração'!E188</f>
        <v>300</v>
      </c>
      <c r="G33" s="68" t="s">
        <v>24</v>
      </c>
      <c r="H33" s="505">
        <v>1680000000000</v>
      </c>
      <c r="I33" s="196">
        <f t="shared" si="17"/>
        <v>0</v>
      </c>
      <c r="J33" s="196">
        <f t="shared" si="18"/>
        <v>504000000000000</v>
      </c>
      <c r="K33" s="204">
        <f>I33/'EmUSD - EmR$'!$C$8</f>
        <v>0</v>
      </c>
      <c r="L33" s="204">
        <f>J33/'EmUSD - EmR$'!$C$8</f>
        <v>152.72727272727272</v>
      </c>
      <c r="N33" s="39">
        <v>26</v>
      </c>
      <c r="O33" s="30" t="s">
        <v>188</v>
      </c>
      <c r="P33" s="260">
        <v>0</v>
      </c>
      <c r="Q33" s="260">
        <v>1</v>
      </c>
      <c r="R33" s="328">
        <f>'19-31 Restauração'!F188+F33</f>
        <v>300</v>
      </c>
      <c r="S33" s="68" t="s">
        <v>24</v>
      </c>
      <c r="T33" s="505">
        <v>1680000000000</v>
      </c>
      <c r="U33" s="196">
        <f t="shared" si="19"/>
        <v>0</v>
      </c>
      <c r="V33" s="196">
        <f t="shared" si="20"/>
        <v>504000000000000</v>
      </c>
      <c r="W33" s="204">
        <f>U33/'EmUSD - EmR$'!$C$8</f>
        <v>0</v>
      </c>
      <c r="X33" s="204">
        <f>V33/'EmUSD - EmR$'!$C$8</f>
        <v>152.72727272727272</v>
      </c>
      <c r="Z33" s="39">
        <v>26</v>
      </c>
      <c r="AA33" s="30" t="s">
        <v>188</v>
      </c>
      <c r="AB33" s="260">
        <v>0</v>
      </c>
      <c r="AC33" s="260">
        <v>1</v>
      </c>
      <c r="AD33" s="328">
        <f>F33+('19-31 Restauração'!F188/2)</f>
        <v>300</v>
      </c>
      <c r="AE33" s="68" t="s">
        <v>24</v>
      </c>
      <c r="AF33" s="505">
        <v>1680000000000</v>
      </c>
      <c r="AG33" s="196">
        <f t="shared" si="21"/>
        <v>0</v>
      </c>
      <c r="AH33" s="196">
        <f t="shared" si="22"/>
        <v>504000000000000</v>
      </c>
      <c r="AI33" s="204">
        <f>AG33/'EmUSD - EmR$'!$C$8</f>
        <v>0</v>
      </c>
      <c r="AJ33" s="204">
        <f>AH33/'EmUSD - EmR$'!$C$8</f>
        <v>152.72727272727272</v>
      </c>
      <c r="AL33" s="39">
        <v>26</v>
      </c>
      <c r="AM33" s="30" t="s">
        <v>188</v>
      </c>
      <c r="AN33" s="260">
        <v>0</v>
      </c>
      <c r="AO33" s="260">
        <v>1</v>
      </c>
      <c r="AP33" s="328">
        <v>300</v>
      </c>
      <c r="AQ33" s="68" t="s">
        <v>24</v>
      </c>
      <c r="AR33" s="505">
        <v>1680000000000</v>
      </c>
      <c r="AS33" s="196">
        <f t="shared" si="23"/>
        <v>0</v>
      </c>
      <c r="AT33" s="196">
        <f t="shared" si="24"/>
        <v>504000000000000</v>
      </c>
      <c r="AU33" s="204">
        <f>AS33/'EmUSD - EmR$'!$C$8</f>
        <v>0</v>
      </c>
      <c r="AV33" s="204">
        <f>AT33/'EmUSD - EmR$'!$C$8</f>
        <v>152.72727272727272</v>
      </c>
      <c r="AX33" s="39">
        <v>26</v>
      </c>
      <c r="AY33" s="30" t="s">
        <v>188</v>
      </c>
      <c r="AZ33" s="260">
        <v>0</v>
      </c>
      <c r="BA33" s="260">
        <v>1</v>
      </c>
      <c r="BB33" s="328">
        <v>300</v>
      </c>
      <c r="BC33" s="68" t="s">
        <v>24</v>
      </c>
      <c r="BD33" s="505">
        <v>1680000000000</v>
      </c>
      <c r="BE33" s="196">
        <f t="shared" si="25"/>
        <v>0</v>
      </c>
      <c r="BF33" s="196">
        <f t="shared" si="26"/>
        <v>504000000000000</v>
      </c>
      <c r="BG33" s="204">
        <f>BE33/'EmUSD - EmR$'!$C$8</f>
        <v>0</v>
      </c>
      <c r="BH33" s="204">
        <f>BF33/'EmUSD - EmR$'!$C$8</f>
        <v>152.72727272727272</v>
      </c>
      <c r="BJ33" s="39">
        <v>26</v>
      </c>
      <c r="BK33" s="30" t="s">
        <v>188</v>
      </c>
      <c r="BL33" s="260">
        <v>0</v>
      </c>
      <c r="BM33" s="260">
        <v>1</v>
      </c>
      <c r="BN33" s="328">
        <v>300</v>
      </c>
      <c r="BO33" s="68" t="s">
        <v>24</v>
      </c>
      <c r="BP33" s="505">
        <v>1680000000000</v>
      </c>
      <c r="BQ33" s="196">
        <f t="shared" si="27"/>
        <v>0</v>
      </c>
      <c r="BR33" s="196">
        <f t="shared" si="28"/>
        <v>504000000000000</v>
      </c>
      <c r="BS33" s="204">
        <f>BQ33/'EmUSD - EmR$'!$C$8</f>
        <v>0</v>
      </c>
      <c r="BT33" s="204">
        <f>BR33/'EmUSD - EmR$'!$C$8</f>
        <v>152.72727272727272</v>
      </c>
      <c r="BV33" s="39">
        <v>26</v>
      </c>
      <c r="BW33" s="30" t="s">
        <v>188</v>
      </c>
      <c r="BX33" s="260">
        <v>0</v>
      </c>
      <c r="BY33" s="260">
        <v>1</v>
      </c>
      <c r="BZ33" s="328">
        <v>300</v>
      </c>
      <c r="CA33" s="68" t="s">
        <v>24</v>
      </c>
      <c r="CB33" s="505">
        <v>1680000000000</v>
      </c>
      <c r="CC33" s="196">
        <f t="shared" si="29"/>
        <v>0</v>
      </c>
      <c r="CD33" s="196">
        <f t="shared" si="30"/>
        <v>504000000000000</v>
      </c>
      <c r="CE33" s="204">
        <f>CC33/'EmUSD - EmR$'!$C$8</f>
        <v>0</v>
      </c>
      <c r="CF33" s="204">
        <f>CD33/'EmUSD - EmR$'!$C$8</f>
        <v>152.72727272727272</v>
      </c>
      <c r="CH33" s="39">
        <v>26</v>
      </c>
      <c r="CI33" s="30" t="s">
        <v>188</v>
      </c>
      <c r="CJ33" s="260">
        <v>0</v>
      </c>
      <c r="CK33" s="260">
        <v>1</v>
      </c>
      <c r="CL33" s="328">
        <v>300</v>
      </c>
      <c r="CM33" s="68" t="s">
        <v>24</v>
      </c>
      <c r="CN33" s="505">
        <v>1680000000000</v>
      </c>
      <c r="CO33" s="196">
        <f t="shared" si="31"/>
        <v>0</v>
      </c>
      <c r="CP33" s="196">
        <f t="shared" si="32"/>
        <v>504000000000000</v>
      </c>
      <c r="CQ33" s="204">
        <f>CO33/'EmUSD - EmR$'!$C$8</f>
        <v>0</v>
      </c>
      <c r="CR33" s="204">
        <f>CP33/'EmUSD - EmR$'!$C$8</f>
        <v>152.72727272727272</v>
      </c>
    </row>
    <row r="34" spans="2:109" s="30" customFormat="1" x14ac:dyDescent="0.25">
      <c r="B34" s="39">
        <v>27</v>
      </c>
      <c r="C34" s="30" t="s">
        <v>189</v>
      </c>
      <c r="D34" s="260">
        <v>0</v>
      </c>
      <c r="E34" s="260">
        <v>1</v>
      </c>
      <c r="F34" s="328">
        <f>'19-31 Restauração'!E189</f>
        <v>103.68663594470046</v>
      </c>
      <c r="G34" s="53" t="s">
        <v>438</v>
      </c>
      <c r="H34" s="505">
        <f>'EmUSD - EmR$'!C8</f>
        <v>3300000000000</v>
      </c>
      <c r="I34" s="196">
        <f t="shared" si="17"/>
        <v>0</v>
      </c>
      <c r="J34" s="196">
        <f t="shared" si="18"/>
        <v>342165898617511.5</v>
      </c>
      <c r="K34" s="204">
        <f>I34/'EmUSD - EmR$'!$C$8</f>
        <v>0</v>
      </c>
      <c r="L34" s="204">
        <f>J34/'EmUSD - EmR$'!$C$8</f>
        <v>103.68663594470046</v>
      </c>
      <c r="N34" s="39">
        <v>27</v>
      </c>
      <c r="O34" s="30" t="s">
        <v>189</v>
      </c>
      <c r="P34" s="260">
        <v>0</v>
      </c>
      <c r="Q34" s="260">
        <v>1</v>
      </c>
      <c r="R34" s="328">
        <f>'19-31 Restauração'!F189+F34</f>
        <v>103.68663594470046</v>
      </c>
      <c r="S34" s="53" t="s">
        <v>438</v>
      </c>
      <c r="T34" s="505">
        <f>'EmUSD - EmR$'!C8</f>
        <v>3300000000000</v>
      </c>
      <c r="U34" s="196">
        <f t="shared" si="19"/>
        <v>0</v>
      </c>
      <c r="V34" s="196">
        <f t="shared" si="20"/>
        <v>342165898617511.5</v>
      </c>
      <c r="W34" s="204">
        <f>U34/'EmUSD - EmR$'!$C$8</f>
        <v>0</v>
      </c>
      <c r="X34" s="204">
        <f>V34/'EmUSD - EmR$'!$C$8</f>
        <v>103.68663594470046</v>
      </c>
      <c r="Z34" s="39">
        <v>27</v>
      </c>
      <c r="AA34" s="30" t="s">
        <v>189</v>
      </c>
      <c r="AB34" s="260">
        <v>0</v>
      </c>
      <c r="AC34" s="260">
        <v>1</v>
      </c>
      <c r="AD34" s="328">
        <f>F34+('19-31 Restauração'!F189/2)</f>
        <v>103.68663594470046</v>
      </c>
      <c r="AE34" s="53" t="s">
        <v>438</v>
      </c>
      <c r="AF34" s="505">
        <v>3300000000000</v>
      </c>
      <c r="AG34" s="196">
        <f t="shared" si="21"/>
        <v>0</v>
      </c>
      <c r="AH34" s="196">
        <f t="shared" si="22"/>
        <v>342165898617511.5</v>
      </c>
      <c r="AI34" s="204">
        <f>AG34/'EmUSD - EmR$'!$C$8</f>
        <v>0</v>
      </c>
      <c r="AJ34" s="204">
        <f>AH34/'EmUSD - EmR$'!$C$8</f>
        <v>103.68663594470046</v>
      </c>
      <c r="AL34" s="39">
        <v>27</v>
      </c>
      <c r="AM34" s="30" t="s">
        <v>189</v>
      </c>
      <c r="AN34" s="260">
        <v>0</v>
      </c>
      <c r="AO34" s="260">
        <v>1</v>
      </c>
      <c r="AP34" s="328">
        <v>103.68663594470046</v>
      </c>
      <c r="AQ34" s="53" t="s">
        <v>438</v>
      </c>
      <c r="AR34" s="505">
        <v>3300000000000</v>
      </c>
      <c r="AS34" s="196">
        <f t="shared" si="23"/>
        <v>0</v>
      </c>
      <c r="AT34" s="196">
        <f t="shared" si="24"/>
        <v>342165898617511.5</v>
      </c>
      <c r="AU34" s="204">
        <f>AS34/'EmUSD - EmR$'!$C$8</f>
        <v>0</v>
      </c>
      <c r="AV34" s="204">
        <f>AT34/'EmUSD - EmR$'!$C$8</f>
        <v>103.68663594470046</v>
      </c>
      <c r="AX34" s="39">
        <v>27</v>
      </c>
      <c r="AY34" s="30" t="s">
        <v>189</v>
      </c>
      <c r="AZ34" s="260">
        <v>0</v>
      </c>
      <c r="BA34" s="260">
        <v>1</v>
      </c>
      <c r="BB34" s="328">
        <v>103.68663594470046</v>
      </c>
      <c r="BC34" s="53" t="s">
        <v>438</v>
      </c>
      <c r="BD34" s="505">
        <v>3300000000000</v>
      </c>
      <c r="BE34" s="196">
        <f t="shared" si="25"/>
        <v>0</v>
      </c>
      <c r="BF34" s="196">
        <f t="shared" si="26"/>
        <v>342165898617511.5</v>
      </c>
      <c r="BG34" s="204">
        <f>BE34/'EmUSD - EmR$'!$C$8</f>
        <v>0</v>
      </c>
      <c r="BH34" s="204">
        <f>BF34/'EmUSD - EmR$'!$C$8</f>
        <v>103.68663594470046</v>
      </c>
      <c r="BJ34" s="39">
        <v>27</v>
      </c>
      <c r="BK34" s="30" t="s">
        <v>189</v>
      </c>
      <c r="BL34" s="260">
        <v>0</v>
      </c>
      <c r="BM34" s="260">
        <v>1</v>
      </c>
      <c r="BN34" s="328">
        <v>103.68663594470046</v>
      </c>
      <c r="BO34" s="53" t="s">
        <v>438</v>
      </c>
      <c r="BP34" s="505">
        <v>3300000000000</v>
      </c>
      <c r="BQ34" s="196">
        <f t="shared" si="27"/>
        <v>0</v>
      </c>
      <c r="BR34" s="196">
        <f t="shared" si="28"/>
        <v>342165898617511.5</v>
      </c>
      <c r="BS34" s="204">
        <f>BQ34/'EmUSD - EmR$'!$C$8</f>
        <v>0</v>
      </c>
      <c r="BT34" s="204">
        <f>BR34/'EmUSD - EmR$'!$C$8</f>
        <v>103.68663594470046</v>
      </c>
      <c r="BV34" s="39">
        <v>27</v>
      </c>
      <c r="BW34" s="30" t="s">
        <v>189</v>
      </c>
      <c r="BX34" s="260">
        <v>0</v>
      </c>
      <c r="BY34" s="260">
        <v>1</v>
      </c>
      <c r="BZ34" s="328">
        <v>103.68663594470046</v>
      </c>
      <c r="CA34" s="53" t="s">
        <v>438</v>
      </c>
      <c r="CB34" s="505">
        <v>3300000000000</v>
      </c>
      <c r="CC34" s="196">
        <f t="shared" si="29"/>
        <v>0</v>
      </c>
      <c r="CD34" s="196">
        <f t="shared" si="30"/>
        <v>342165898617511.5</v>
      </c>
      <c r="CE34" s="204">
        <f>CC34/'EmUSD - EmR$'!$C$8</f>
        <v>0</v>
      </c>
      <c r="CF34" s="204">
        <f>CD34/'EmUSD - EmR$'!$C$8</f>
        <v>103.68663594470046</v>
      </c>
      <c r="CH34" s="39">
        <v>27</v>
      </c>
      <c r="CI34" s="30" t="s">
        <v>189</v>
      </c>
      <c r="CJ34" s="260">
        <v>0</v>
      </c>
      <c r="CK34" s="260">
        <v>1</v>
      </c>
      <c r="CL34" s="328">
        <v>103.68663594470046</v>
      </c>
      <c r="CM34" s="53" t="s">
        <v>438</v>
      </c>
      <c r="CN34" s="505">
        <v>3300000000000</v>
      </c>
      <c r="CO34" s="196">
        <f t="shared" si="31"/>
        <v>0</v>
      </c>
      <c r="CP34" s="196">
        <f t="shared" si="32"/>
        <v>342165898617511.5</v>
      </c>
      <c r="CQ34" s="204">
        <f>CO34/'EmUSD - EmR$'!$C$8</f>
        <v>0</v>
      </c>
      <c r="CR34" s="204">
        <f>CP34/'EmUSD - EmR$'!$C$8</f>
        <v>103.68663594470046</v>
      </c>
    </row>
    <row r="35" spans="2:109" s="30" customFormat="1" x14ac:dyDescent="0.25">
      <c r="B35" s="168">
        <v>28</v>
      </c>
      <c r="C35" s="30" t="s">
        <v>158</v>
      </c>
      <c r="D35" s="260">
        <v>0</v>
      </c>
      <c r="E35" s="260">
        <v>1</v>
      </c>
      <c r="F35" s="328">
        <f>'19-31 Restauração'!E190</f>
        <v>145.35878867676104</v>
      </c>
      <c r="G35" s="53" t="s">
        <v>438</v>
      </c>
      <c r="H35" s="505">
        <f>'EmUSD - EmR$'!C8</f>
        <v>3300000000000</v>
      </c>
      <c r="I35" s="196">
        <f t="shared" si="17"/>
        <v>0</v>
      </c>
      <c r="J35" s="196">
        <f t="shared" si="18"/>
        <v>479684002633311.44</v>
      </c>
      <c r="K35" s="204">
        <f>I35/'EmUSD - EmR$'!$C$8</f>
        <v>0</v>
      </c>
      <c r="L35" s="204">
        <f>J35/'EmUSD - EmR$'!$C$8</f>
        <v>145.35878867676104</v>
      </c>
      <c r="N35" s="168">
        <v>28</v>
      </c>
      <c r="O35" s="30" t="s">
        <v>158</v>
      </c>
      <c r="P35" s="260">
        <v>0</v>
      </c>
      <c r="Q35" s="260">
        <v>1</v>
      </c>
      <c r="R35" s="328">
        <f>'19-31 Restauração'!F190+F35</f>
        <v>183.27847267939435</v>
      </c>
      <c r="S35" s="53" t="s">
        <v>438</v>
      </c>
      <c r="T35" s="505">
        <f>'EmUSD - EmR$'!C8</f>
        <v>3300000000000</v>
      </c>
      <c r="U35" s="196">
        <f t="shared" si="19"/>
        <v>0</v>
      </c>
      <c r="V35" s="196">
        <f t="shared" si="20"/>
        <v>604818959842001.37</v>
      </c>
      <c r="W35" s="204">
        <f>U35/'EmUSD - EmR$'!$C$8</f>
        <v>0</v>
      </c>
      <c r="X35" s="204">
        <f>V35/'EmUSD - EmR$'!$C$8</f>
        <v>183.27847267939435</v>
      </c>
      <c r="Z35" s="168">
        <v>28</v>
      </c>
      <c r="AA35" s="30" t="s">
        <v>158</v>
      </c>
      <c r="AB35" s="260">
        <v>0</v>
      </c>
      <c r="AC35" s="260">
        <v>1</v>
      </c>
      <c r="AD35" s="328">
        <f>F35+('19-31 Restauração'!F190/2)</f>
        <v>164.31863067807768</v>
      </c>
      <c r="AE35" s="53" t="s">
        <v>438</v>
      </c>
      <c r="AF35" s="505">
        <v>3300000000000</v>
      </c>
      <c r="AG35" s="196">
        <f t="shared" si="21"/>
        <v>0</v>
      </c>
      <c r="AH35" s="196">
        <f t="shared" si="22"/>
        <v>542251481237656.37</v>
      </c>
      <c r="AI35" s="204">
        <f>AG35/'EmUSD - EmR$'!$C$8</f>
        <v>0</v>
      </c>
      <c r="AJ35" s="204">
        <f>AH35/'EmUSD - EmR$'!$C$8</f>
        <v>164.31863067807768</v>
      </c>
      <c r="AL35" s="168">
        <v>28</v>
      </c>
      <c r="AM35" s="30" t="s">
        <v>158</v>
      </c>
      <c r="AN35" s="260">
        <v>0</v>
      </c>
      <c r="AO35" s="260">
        <v>1</v>
      </c>
      <c r="AP35" s="328">
        <v>183.27847267939435</v>
      </c>
      <c r="AQ35" s="53" t="s">
        <v>438</v>
      </c>
      <c r="AR35" s="505">
        <v>3300000000000</v>
      </c>
      <c r="AS35" s="196">
        <f t="shared" si="23"/>
        <v>0</v>
      </c>
      <c r="AT35" s="196">
        <f t="shared" si="24"/>
        <v>604818959842001.37</v>
      </c>
      <c r="AU35" s="204">
        <f>AS35/'EmUSD - EmR$'!$C$8</f>
        <v>0</v>
      </c>
      <c r="AV35" s="204">
        <f>AT35/'EmUSD - EmR$'!$C$8</f>
        <v>183.27847267939435</v>
      </c>
      <c r="AX35" s="168">
        <v>28</v>
      </c>
      <c r="AY35" s="30" t="s">
        <v>158</v>
      </c>
      <c r="AZ35" s="260">
        <v>0</v>
      </c>
      <c r="BA35" s="260">
        <v>1</v>
      </c>
      <c r="BB35" s="328">
        <v>183.27847267939435</v>
      </c>
      <c r="BC35" s="53" t="s">
        <v>438</v>
      </c>
      <c r="BD35" s="505">
        <v>3300000000000</v>
      </c>
      <c r="BE35" s="196">
        <f t="shared" si="25"/>
        <v>0</v>
      </c>
      <c r="BF35" s="196">
        <f t="shared" si="26"/>
        <v>604818959842001.37</v>
      </c>
      <c r="BG35" s="204">
        <f>BE35/'EmUSD - EmR$'!$C$8</f>
        <v>0</v>
      </c>
      <c r="BH35" s="204">
        <f>BF35/'EmUSD - EmR$'!$C$8</f>
        <v>183.27847267939435</v>
      </c>
      <c r="BJ35" s="168">
        <v>28</v>
      </c>
      <c r="BK35" s="30" t="s">
        <v>158</v>
      </c>
      <c r="BL35" s="260">
        <v>0</v>
      </c>
      <c r="BM35" s="260">
        <v>1</v>
      </c>
      <c r="BN35" s="328">
        <v>183.27847267939435</v>
      </c>
      <c r="BO35" s="53" t="s">
        <v>438</v>
      </c>
      <c r="BP35" s="505">
        <v>3300000000000</v>
      </c>
      <c r="BQ35" s="196">
        <f t="shared" si="27"/>
        <v>0</v>
      </c>
      <c r="BR35" s="196">
        <f t="shared" si="28"/>
        <v>604818959842001.37</v>
      </c>
      <c r="BS35" s="204">
        <f>BQ35/'EmUSD - EmR$'!$C$8</f>
        <v>0</v>
      </c>
      <c r="BT35" s="204">
        <f>BR35/'EmUSD - EmR$'!$C$8</f>
        <v>183.27847267939435</v>
      </c>
      <c r="BV35" s="168">
        <v>28</v>
      </c>
      <c r="BW35" s="30" t="s">
        <v>158</v>
      </c>
      <c r="BX35" s="260">
        <v>0</v>
      </c>
      <c r="BY35" s="260">
        <v>1</v>
      </c>
      <c r="BZ35" s="328">
        <v>183.27847267939435</v>
      </c>
      <c r="CA35" s="53" t="s">
        <v>438</v>
      </c>
      <c r="CB35" s="505">
        <v>3300000000000</v>
      </c>
      <c r="CC35" s="196">
        <f t="shared" si="29"/>
        <v>0</v>
      </c>
      <c r="CD35" s="196">
        <f t="shared" si="30"/>
        <v>604818959842001.37</v>
      </c>
      <c r="CE35" s="204">
        <f>CC35/'EmUSD - EmR$'!$C$8</f>
        <v>0</v>
      </c>
      <c r="CF35" s="204">
        <f>CD35/'EmUSD - EmR$'!$C$8</f>
        <v>183.27847267939435</v>
      </c>
      <c r="CH35" s="168">
        <v>28</v>
      </c>
      <c r="CI35" s="30" t="s">
        <v>158</v>
      </c>
      <c r="CJ35" s="260">
        <v>0</v>
      </c>
      <c r="CK35" s="260">
        <v>1</v>
      </c>
      <c r="CL35" s="328">
        <v>183.27847267939435</v>
      </c>
      <c r="CM35" s="53" t="s">
        <v>438</v>
      </c>
      <c r="CN35" s="505">
        <v>3300000000000</v>
      </c>
      <c r="CO35" s="196">
        <f t="shared" si="31"/>
        <v>0</v>
      </c>
      <c r="CP35" s="196">
        <f t="shared" si="32"/>
        <v>604818959842001.37</v>
      </c>
      <c r="CQ35" s="204">
        <f>CO35/'EmUSD - EmR$'!$C$8</f>
        <v>0</v>
      </c>
      <c r="CR35" s="204">
        <f>CP35/'EmUSD - EmR$'!$C$8</f>
        <v>183.27847267939435</v>
      </c>
    </row>
    <row r="36" spans="2:109" s="30" customFormat="1" x14ac:dyDescent="0.25">
      <c r="B36" s="170">
        <v>29</v>
      </c>
      <c r="C36" s="174" t="s">
        <v>230</v>
      </c>
      <c r="D36" s="260">
        <v>0</v>
      </c>
      <c r="E36" s="260">
        <v>1</v>
      </c>
      <c r="F36" s="328">
        <f>'19-31 Restauração'!E191</f>
        <v>395.625</v>
      </c>
      <c r="G36" s="68" t="s">
        <v>24</v>
      </c>
      <c r="H36" s="505">
        <v>2760000000000</v>
      </c>
      <c r="I36" s="196">
        <f t="shared" si="17"/>
        <v>0</v>
      </c>
      <c r="J36" s="196">
        <f t="shared" si="18"/>
        <v>1091925000000000</v>
      </c>
      <c r="K36" s="204">
        <f>I36/'EmUSD - EmR$'!$C$8</f>
        <v>0</v>
      </c>
      <c r="L36" s="204">
        <f>J36/'EmUSD - EmR$'!$C$8</f>
        <v>330.88636363636363</v>
      </c>
      <c r="N36" s="233">
        <v>29</v>
      </c>
      <c r="O36" s="245" t="s">
        <v>230</v>
      </c>
      <c r="P36" s="260">
        <v>0</v>
      </c>
      <c r="Q36" s="260">
        <v>1</v>
      </c>
      <c r="R36" s="328">
        <f>'19-31 Restauração'!F191+F36</f>
        <v>418.125</v>
      </c>
      <c r="S36" s="68" t="s">
        <v>24</v>
      </c>
      <c r="T36" s="505">
        <v>2760000000000</v>
      </c>
      <c r="U36" s="196">
        <f t="shared" si="19"/>
        <v>0</v>
      </c>
      <c r="V36" s="196">
        <f t="shared" si="20"/>
        <v>1154025000000000</v>
      </c>
      <c r="W36" s="204">
        <f>U36/'EmUSD - EmR$'!$C$8</f>
        <v>0</v>
      </c>
      <c r="X36" s="204">
        <f>V36/'EmUSD - EmR$'!$C$8</f>
        <v>349.70454545454544</v>
      </c>
      <c r="Z36" s="466">
        <v>29</v>
      </c>
      <c r="AA36" s="245" t="s">
        <v>230</v>
      </c>
      <c r="AB36" s="260">
        <v>0</v>
      </c>
      <c r="AC36" s="260">
        <v>1</v>
      </c>
      <c r="AD36" s="328">
        <f>F36+('19-31 Restauração'!F191/2)</f>
        <v>406.875</v>
      </c>
      <c r="AE36" s="68" t="s">
        <v>24</v>
      </c>
      <c r="AF36" s="505">
        <v>2760000000000</v>
      </c>
      <c r="AG36" s="196">
        <f t="shared" si="21"/>
        <v>0</v>
      </c>
      <c r="AH36" s="196">
        <f t="shared" si="22"/>
        <v>1122975000000000</v>
      </c>
      <c r="AI36" s="204">
        <f>AG36/'EmUSD - EmR$'!$C$8</f>
        <v>0</v>
      </c>
      <c r="AJ36" s="204">
        <f>AH36/'EmUSD - EmR$'!$C$8</f>
        <v>340.29545454545456</v>
      </c>
      <c r="AL36" s="466">
        <v>29</v>
      </c>
      <c r="AM36" s="245" t="s">
        <v>230</v>
      </c>
      <c r="AN36" s="260">
        <v>0</v>
      </c>
      <c r="AO36" s="260">
        <v>1</v>
      </c>
      <c r="AP36" s="328">
        <v>418.125</v>
      </c>
      <c r="AQ36" s="68" t="s">
        <v>24</v>
      </c>
      <c r="AR36" s="505">
        <v>2760000000000</v>
      </c>
      <c r="AS36" s="196">
        <f t="shared" si="23"/>
        <v>0</v>
      </c>
      <c r="AT36" s="196">
        <f t="shared" si="24"/>
        <v>1154025000000000</v>
      </c>
      <c r="AU36" s="204">
        <f>AS36/'EmUSD - EmR$'!$C$8</f>
        <v>0</v>
      </c>
      <c r="AV36" s="204">
        <f>AT36/'EmUSD - EmR$'!$C$8</f>
        <v>349.70454545454544</v>
      </c>
      <c r="AX36" s="466">
        <v>29</v>
      </c>
      <c r="AY36" s="245" t="s">
        <v>230</v>
      </c>
      <c r="AZ36" s="260">
        <v>0</v>
      </c>
      <c r="BA36" s="260">
        <v>1</v>
      </c>
      <c r="BB36" s="328">
        <v>418.125</v>
      </c>
      <c r="BC36" s="68" t="s">
        <v>24</v>
      </c>
      <c r="BD36" s="505">
        <v>2760000000000</v>
      </c>
      <c r="BE36" s="196">
        <f t="shared" si="25"/>
        <v>0</v>
      </c>
      <c r="BF36" s="196">
        <f t="shared" si="26"/>
        <v>1154025000000000</v>
      </c>
      <c r="BG36" s="204">
        <f>BE36/'EmUSD - EmR$'!$C$8</f>
        <v>0</v>
      </c>
      <c r="BH36" s="204">
        <f>BF36/'EmUSD - EmR$'!$C$8</f>
        <v>349.70454545454544</v>
      </c>
      <c r="BJ36" s="466">
        <v>29</v>
      </c>
      <c r="BK36" s="245" t="s">
        <v>230</v>
      </c>
      <c r="BL36" s="260">
        <v>0</v>
      </c>
      <c r="BM36" s="260">
        <v>1</v>
      </c>
      <c r="BN36" s="328">
        <v>418.125</v>
      </c>
      <c r="BO36" s="68" t="s">
        <v>24</v>
      </c>
      <c r="BP36" s="505">
        <v>2760000000000</v>
      </c>
      <c r="BQ36" s="196">
        <f t="shared" si="27"/>
        <v>0</v>
      </c>
      <c r="BR36" s="196">
        <f t="shared" si="28"/>
        <v>1154025000000000</v>
      </c>
      <c r="BS36" s="204">
        <f>BQ36/'EmUSD - EmR$'!$C$8</f>
        <v>0</v>
      </c>
      <c r="BT36" s="204">
        <f>BR36/'EmUSD - EmR$'!$C$8</f>
        <v>349.70454545454544</v>
      </c>
      <c r="BV36" s="466">
        <v>29</v>
      </c>
      <c r="BW36" s="245" t="s">
        <v>230</v>
      </c>
      <c r="BX36" s="260">
        <v>0</v>
      </c>
      <c r="BY36" s="260">
        <v>1</v>
      </c>
      <c r="BZ36" s="328">
        <v>418.125</v>
      </c>
      <c r="CA36" s="68" t="s">
        <v>24</v>
      </c>
      <c r="CB36" s="505">
        <v>2760000000000</v>
      </c>
      <c r="CC36" s="196">
        <f t="shared" si="29"/>
        <v>0</v>
      </c>
      <c r="CD36" s="196">
        <f t="shared" si="30"/>
        <v>1154025000000000</v>
      </c>
      <c r="CE36" s="204">
        <f>CC36/'EmUSD - EmR$'!$C$8</f>
        <v>0</v>
      </c>
      <c r="CF36" s="204">
        <f>CD36/'EmUSD - EmR$'!$C$8</f>
        <v>349.70454545454544</v>
      </c>
      <c r="CH36" s="466">
        <v>29</v>
      </c>
      <c r="CI36" s="245" t="s">
        <v>230</v>
      </c>
      <c r="CJ36" s="260">
        <v>0</v>
      </c>
      <c r="CK36" s="260">
        <v>1</v>
      </c>
      <c r="CL36" s="328">
        <v>418.125</v>
      </c>
      <c r="CM36" s="68" t="s">
        <v>24</v>
      </c>
      <c r="CN36" s="505">
        <v>2760000000000</v>
      </c>
      <c r="CO36" s="196">
        <f t="shared" si="31"/>
        <v>0</v>
      </c>
      <c r="CP36" s="196">
        <f t="shared" si="32"/>
        <v>1154025000000000</v>
      </c>
      <c r="CQ36" s="204">
        <f>CO36/'EmUSD - EmR$'!$C$8</f>
        <v>0</v>
      </c>
      <c r="CR36" s="204">
        <f>CP36/'EmUSD - EmR$'!$C$8</f>
        <v>349.70454545454544</v>
      </c>
    </row>
    <row r="37" spans="2:109" s="30" customFormat="1" x14ac:dyDescent="0.25">
      <c r="B37" s="466">
        <v>30</v>
      </c>
      <c r="C37" s="245" t="s">
        <v>416</v>
      </c>
      <c r="D37" s="260">
        <v>0.4</v>
      </c>
      <c r="E37" s="260">
        <v>0.6</v>
      </c>
      <c r="F37" s="328">
        <f>'19-31 Restauração'!E192</f>
        <v>315.99736668861095</v>
      </c>
      <c r="G37" s="53" t="s">
        <v>438</v>
      </c>
      <c r="H37" s="505">
        <f>'EmUSD - EmR$'!C8</f>
        <v>3300000000000</v>
      </c>
      <c r="I37" s="196">
        <f t="shared" si="17"/>
        <v>417116524028966.5</v>
      </c>
      <c r="J37" s="196">
        <f t="shared" si="18"/>
        <v>625674786043449.62</v>
      </c>
      <c r="K37" s="204">
        <f>I37/'EmUSD - EmR$'!$C$8</f>
        <v>126.39894667544439</v>
      </c>
      <c r="L37" s="204">
        <f>J37/'EmUSD - EmR$'!$C$8</f>
        <v>189.59842001316656</v>
      </c>
      <c r="N37" s="466">
        <v>30</v>
      </c>
      <c r="O37" s="245" t="s">
        <v>416</v>
      </c>
      <c r="P37" s="260">
        <v>0.4</v>
      </c>
      <c r="Q37" s="260">
        <v>0.6</v>
      </c>
      <c r="R37" s="329">
        <f>'19-31 Restauração'!F192+F37</f>
        <v>315.99736668861095</v>
      </c>
      <c r="S37" s="53" t="s">
        <v>438</v>
      </c>
      <c r="T37" s="505">
        <f>'EmUSD - EmR$'!C8</f>
        <v>3300000000000</v>
      </c>
      <c r="U37" s="196">
        <f t="shared" si="19"/>
        <v>417116524028966.5</v>
      </c>
      <c r="V37" s="196">
        <f t="shared" si="20"/>
        <v>625674786043449.62</v>
      </c>
      <c r="W37" s="204">
        <f>U37/'EmUSD - EmR$'!$C$8</f>
        <v>126.39894667544439</v>
      </c>
      <c r="X37" s="204">
        <f>V37/'EmUSD - EmR$'!$C$8</f>
        <v>189.59842001316656</v>
      </c>
      <c r="Z37" s="466">
        <v>30</v>
      </c>
      <c r="AA37" s="245" t="s">
        <v>416</v>
      </c>
      <c r="AB37" s="260">
        <v>0.4</v>
      </c>
      <c r="AC37" s="260">
        <v>0.6</v>
      </c>
      <c r="AD37" s="329">
        <f>F37+('19-31 Restauração'!F192/2)</f>
        <v>315.99736668861095</v>
      </c>
      <c r="AE37" s="53" t="s">
        <v>438</v>
      </c>
      <c r="AF37" s="505">
        <v>3300000000000</v>
      </c>
      <c r="AG37" s="196">
        <f t="shared" si="21"/>
        <v>417116524028966.5</v>
      </c>
      <c r="AH37" s="196">
        <f t="shared" si="22"/>
        <v>625674786043449.62</v>
      </c>
      <c r="AI37" s="204">
        <f>AG37/'EmUSD - EmR$'!$C$8</f>
        <v>126.39894667544439</v>
      </c>
      <c r="AJ37" s="204">
        <f>AH37/'EmUSD - EmR$'!$C$8</f>
        <v>189.59842001316656</v>
      </c>
      <c r="AL37" s="466">
        <v>30</v>
      </c>
      <c r="AM37" s="245" t="s">
        <v>416</v>
      </c>
      <c r="AN37" s="260">
        <v>0.4</v>
      </c>
      <c r="AO37" s="260">
        <v>0.6</v>
      </c>
      <c r="AP37" s="329">
        <v>315.99736668861095</v>
      </c>
      <c r="AQ37" s="53" t="s">
        <v>438</v>
      </c>
      <c r="AR37" s="505">
        <v>3300000000000</v>
      </c>
      <c r="AS37" s="196">
        <f t="shared" si="23"/>
        <v>417116524028966.5</v>
      </c>
      <c r="AT37" s="196">
        <f t="shared" si="24"/>
        <v>625674786043449.62</v>
      </c>
      <c r="AU37" s="204">
        <f>AS37/'EmUSD - EmR$'!$C$8</f>
        <v>126.39894667544439</v>
      </c>
      <c r="AV37" s="204">
        <f>AT37/'EmUSD - EmR$'!$C$8</f>
        <v>189.59842001316656</v>
      </c>
      <c r="AX37" s="466">
        <v>30</v>
      </c>
      <c r="AY37" s="245" t="s">
        <v>416</v>
      </c>
      <c r="AZ37" s="260">
        <v>0.4</v>
      </c>
      <c r="BA37" s="260">
        <v>0.6</v>
      </c>
      <c r="BB37" s="329">
        <v>315.99736668861095</v>
      </c>
      <c r="BC37" s="53" t="s">
        <v>438</v>
      </c>
      <c r="BD37" s="505">
        <v>3300000000000</v>
      </c>
      <c r="BE37" s="196">
        <f t="shared" si="25"/>
        <v>417116524028966.5</v>
      </c>
      <c r="BF37" s="196">
        <f t="shared" si="26"/>
        <v>625674786043449.62</v>
      </c>
      <c r="BG37" s="204">
        <f>BE37/'EmUSD - EmR$'!$C$8</f>
        <v>126.39894667544439</v>
      </c>
      <c r="BH37" s="204">
        <f>BF37/'EmUSD - EmR$'!$C$8</f>
        <v>189.59842001316656</v>
      </c>
      <c r="BJ37" s="466">
        <v>30</v>
      </c>
      <c r="BK37" s="245" t="s">
        <v>416</v>
      </c>
      <c r="BL37" s="260">
        <v>0.4</v>
      </c>
      <c r="BM37" s="260">
        <v>0.6</v>
      </c>
      <c r="BN37" s="329">
        <v>315.99736668861095</v>
      </c>
      <c r="BO37" s="53" t="s">
        <v>438</v>
      </c>
      <c r="BP37" s="505">
        <v>3300000000000</v>
      </c>
      <c r="BQ37" s="196">
        <f t="shared" si="27"/>
        <v>417116524028966.5</v>
      </c>
      <c r="BR37" s="196">
        <f t="shared" si="28"/>
        <v>625674786043449.62</v>
      </c>
      <c r="BS37" s="204">
        <f>BQ37/'EmUSD - EmR$'!$C$8</f>
        <v>126.39894667544439</v>
      </c>
      <c r="BT37" s="204">
        <f>BR37/'EmUSD - EmR$'!$C$8</f>
        <v>189.59842001316656</v>
      </c>
      <c r="BV37" s="466">
        <v>30</v>
      </c>
      <c r="BW37" s="245" t="s">
        <v>416</v>
      </c>
      <c r="BX37" s="260">
        <v>0.4</v>
      </c>
      <c r="BY37" s="260">
        <v>0.6</v>
      </c>
      <c r="BZ37" s="329">
        <v>315.99736668861095</v>
      </c>
      <c r="CA37" s="53" t="s">
        <v>438</v>
      </c>
      <c r="CB37" s="505">
        <v>3300000000000</v>
      </c>
      <c r="CC37" s="196">
        <f t="shared" si="29"/>
        <v>417116524028966.5</v>
      </c>
      <c r="CD37" s="196">
        <f t="shared" si="30"/>
        <v>625674786043449.62</v>
      </c>
      <c r="CE37" s="204">
        <f>CC37/'EmUSD - EmR$'!$C$8</f>
        <v>126.39894667544439</v>
      </c>
      <c r="CF37" s="204">
        <f>CD37/'EmUSD - EmR$'!$C$8</f>
        <v>189.59842001316656</v>
      </c>
      <c r="CH37" s="466">
        <v>30</v>
      </c>
      <c r="CI37" s="245" t="s">
        <v>416</v>
      </c>
      <c r="CJ37" s="260">
        <v>0.4</v>
      </c>
      <c r="CK37" s="260">
        <v>0.6</v>
      </c>
      <c r="CL37" s="329">
        <v>315.99736668861095</v>
      </c>
      <c r="CM37" s="53" t="s">
        <v>438</v>
      </c>
      <c r="CN37" s="505">
        <v>3300000000000</v>
      </c>
      <c r="CO37" s="196">
        <f t="shared" si="31"/>
        <v>417116524028966.5</v>
      </c>
      <c r="CP37" s="196">
        <f t="shared" si="32"/>
        <v>625674786043449.62</v>
      </c>
      <c r="CQ37" s="204">
        <f>CO37/'EmUSD - EmR$'!$C$8</f>
        <v>126.39894667544439</v>
      </c>
      <c r="CR37" s="204">
        <f>CP37/'EmUSD - EmR$'!$C$8</f>
        <v>189.59842001316656</v>
      </c>
    </row>
    <row r="38" spans="2:109" s="30" customFormat="1" x14ac:dyDescent="0.25">
      <c r="B38" s="47" t="s">
        <v>6</v>
      </c>
      <c r="C38" s="32" t="s">
        <v>305</v>
      </c>
      <c r="D38" s="261"/>
      <c r="E38" s="261"/>
      <c r="F38" s="345"/>
      <c r="G38" s="228"/>
      <c r="H38" s="506"/>
      <c r="I38" s="323"/>
      <c r="J38" s="323"/>
      <c r="K38" s="324"/>
      <c r="L38" s="324"/>
      <c r="N38" s="47" t="s">
        <v>6</v>
      </c>
      <c r="O38" s="32" t="s">
        <v>305</v>
      </c>
      <c r="P38" s="261"/>
      <c r="Q38" s="261"/>
      <c r="R38" s="345"/>
      <c r="S38" s="228"/>
      <c r="T38" s="506"/>
      <c r="U38" s="323"/>
      <c r="V38" s="323"/>
      <c r="W38" s="324"/>
      <c r="X38" s="324"/>
      <c r="Z38" s="47" t="s">
        <v>6</v>
      </c>
      <c r="AA38" s="32" t="s">
        <v>305</v>
      </c>
      <c r="AB38" s="261"/>
      <c r="AC38" s="261"/>
      <c r="AD38" s="345"/>
      <c r="AE38" s="228"/>
      <c r="AF38" s="229"/>
      <c r="AG38" s="323"/>
      <c r="AH38" s="323"/>
      <c r="AI38" s="324"/>
      <c r="AJ38" s="324"/>
      <c r="AL38" s="47" t="s">
        <v>6</v>
      </c>
      <c r="AM38" s="32" t="s">
        <v>305</v>
      </c>
      <c r="AN38" s="261"/>
      <c r="AO38" s="261"/>
      <c r="AP38" s="345"/>
      <c r="AQ38" s="228"/>
      <c r="AR38" s="229"/>
      <c r="AS38" s="323"/>
      <c r="AT38" s="323"/>
      <c r="AU38" s="324"/>
      <c r="AV38" s="324"/>
      <c r="AX38" s="47" t="s">
        <v>6</v>
      </c>
      <c r="AY38" s="32" t="s">
        <v>305</v>
      </c>
      <c r="AZ38" s="261"/>
      <c r="BA38" s="261"/>
      <c r="BB38" s="345"/>
      <c r="BC38" s="228"/>
      <c r="BD38" s="506"/>
      <c r="BE38" s="323"/>
      <c r="BF38" s="323"/>
      <c r="BG38" s="324"/>
      <c r="BH38" s="324"/>
      <c r="BJ38" s="47" t="s">
        <v>6</v>
      </c>
      <c r="BK38" s="32" t="s">
        <v>305</v>
      </c>
      <c r="BL38" s="261"/>
      <c r="BM38" s="261"/>
      <c r="BN38" s="345"/>
      <c r="BO38" s="228"/>
      <c r="BP38" s="506"/>
      <c r="BQ38" s="323"/>
      <c r="BR38" s="323"/>
      <c r="BS38" s="324"/>
      <c r="BT38" s="324"/>
      <c r="BV38" s="47" t="s">
        <v>6</v>
      </c>
      <c r="BW38" s="32" t="s">
        <v>305</v>
      </c>
      <c r="BX38" s="261"/>
      <c r="BY38" s="261"/>
      <c r="BZ38" s="345"/>
      <c r="CA38" s="228"/>
      <c r="CB38" s="506"/>
      <c r="CC38" s="323"/>
      <c r="CD38" s="323"/>
      <c r="CE38" s="324"/>
      <c r="CF38" s="324"/>
      <c r="CH38" s="47" t="s">
        <v>6</v>
      </c>
      <c r="CI38" s="32" t="s">
        <v>305</v>
      </c>
      <c r="CJ38" s="261"/>
      <c r="CK38" s="261"/>
      <c r="CL38" s="345"/>
      <c r="CM38" s="228"/>
      <c r="CN38" s="229"/>
      <c r="CO38" s="323"/>
      <c r="CP38" s="323"/>
      <c r="CQ38" s="324"/>
      <c r="CR38" s="324"/>
    </row>
    <row r="39" spans="2:109" s="30" customFormat="1" x14ac:dyDescent="0.25">
      <c r="B39" s="170">
        <v>31</v>
      </c>
      <c r="C39" s="143" t="s">
        <v>267</v>
      </c>
      <c r="D39" s="260">
        <v>0.3</v>
      </c>
      <c r="E39" s="260">
        <v>0.7</v>
      </c>
      <c r="F39" s="328">
        <f>'19-31 Restauração'!E194</f>
        <v>58793305.243445687</v>
      </c>
      <c r="G39" s="68" t="s">
        <v>437</v>
      </c>
      <c r="H39" s="505">
        <v>24600000</v>
      </c>
      <c r="I39" s="196">
        <f>D39*F39*H39</f>
        <v>433894592696629.12</v>
      </c>
      <c r="J39" s="196">
        <f>E39*F39*H39</f>
        <v>1012420716292134.7</v>
      </c>
      <c r="K39" s="204">
        <f>I39/'EmUSD - EmR$'!$C$8</f>
        <v>131.48320990806943</v>
      </c>
      <c r="L39" s="204">
        <f>J39/'EmUSD - EmR$'!$C$8</f>
        <v>306.79415645216204</v>
      </c>
      <c r="N39" s="233">
        <v>31</v>
      </c>
      <c r="O39" s="143" t="s">
        <v>267</v>
      </c>
      <c r="P39" s="260">
        <v>0.3</v>
      </c>
      <c r="Q39" s="260">
        <v>0.7</v>
      </c>
      <c r="R39" s="328">
        <f>'19-31 Restauração'!F194+F39</f>
        <v>87854634.83146067</v>
      </c>
      <c r="S39" s="68" t="s">
        <v>437</v>
      </c>
      <c r="T39" s="505">
        <v>24600000</v>
      </c>
      <c r="U39" s="196">
        <f>P39*R39*T39</f>
        <v>648367205056179.75</v>
      </c>
      <c r="V39" s="196">
        <f>Q39*R39*T39</f>
        <v>1512856811797752.5</v>
      </c>
      <c r="W39" s="204">
        <f>U39/'EmUSD - EmR$'!$C$8</f>
        <v>196.47491062308478</v>
      </c>
      <c r="X39" s="204">
        <f>V39/'EmUSD - EmR$'!$C$8</f>
        <v>458.44145812053108</v>
      </c>
      <c r="Z39" s="466">
        <v>31</v>
      </c>
      <c r="AA39" s="143" t="s">
        <v>267</v>
      </c>
      <c r="AB39" s="260">
        <v>0.3</v>
      </c>
      <c r="AC39" s="260">
        <v>0.7</v>
      </c>
      <c r="AD39" s="328">
        <f>F39+('19-31 Restauração'!F194/2)</f>
        <v>73323970.037453175</v>
      </c>
      <c r="AE39" s="68" t="s">
        <v>437</v>
      </c>
      <c r="AF39" s="505">
        <v>24600000</v>
      </c>
      <c r="AG39" s="196">
        <f>AB39*AD39*AF39</f>
        <v>541130898876404.44</v>
      </c>
      <c r="AH39" s="196">
        <f>AC39*AD39*AF39</f>
        <v>1262638764044943.7</v>
      </c>
      <c r="AI39" s="204">
        <f>AG39/'EmUSD - EmR$'!$C$8</f>
        <v>163.97906026557709</v>
      </c>
      <c r="AJ39" s="204">
        <f>AH39/'EmUSD - EmR$'!$C$8</f>
        <v>382.61780728634659</v>
      </c>
      <c r="AL39" s="466">
        <v>31</v>
      </c>
      <c r="AM39" s="143" t="s">
        <v>267</v>
      </c>
      <c r="AN39" s="260">
        <v>0.3</v>
      </c>
      <c r="AO39" s="260">
        <v>0.7</v>
      </c>
      <c r="AP39" s="328">
        <v>87854634.83146067</v>
      </c>
      <c r="AQ39" s="68" t="s">
        <v>437</v>
      </c>
      <c r="AR39" s="246">
        <v>24600000</v>
      </c>
      <c r="AS39" s="196">
        <f>AN39*AP39*AR39</f>
        <v>648367205056179.75</v>
      </c>
      <c r="AT39" s="196">
        <f>AO39*AP39*AR39</f>
        <v>1512856811797752.5</v>
      </c>
      <c r="AU39" s="204">
        <f>AS39/'EmUSD - EmR$'!$C$8</f>
        <v>196.47491062308478</v>
      </c>
      <c r="AV39" s="204">
        <f>AT39/'EmUSD - EmR$'!$C$8</f>
        <v>458.44145812053108</v>
      </c>
      <c r="AW39" s="226"/>
      <c r="AX39" s="466">
        <v>31</v>
      </c>
      <c r="AY39" s="143" t="s">
        <v>267</v>
      </c>
      <c r="AZ39" s="260">
        <v>0.3</v>
      </c>
      <c r="BA39" s="260">
        <v>0.7</v>
      </c>
      <c r="BB39" s="328">
        <v>87854634.83146067</v>
      </c>
      <c r="BC39" s="68" t="s">
        <v>437</v>
      </c>
      <c r="BD39" s="505">
        <v>24600000</v>
      </c>
      <c r="BE39" s="196">
        <f>AZ39*BB39*BD39</f>
        <v>648367205056179.75</v>
      </c>
      <c r="BF39" s="196">
        <f>BA39*BB39*BD39</f>
        <v>1512856811797752.5</v>
      </c>
      <c r="BG39" s="204">
        <f>BE39/'EmUSD - EmR$'!$C$8</f>
        <v>196.47491062308478</v>
      </c>
      <c r="BH39" s="204">
        <f>BF39/'EmUSD - EmR$'!$C$8</f>
        <v>458.44145812053108</v>
      </c>
      <c r="BJ39" s="466">
        <v>31</v>
      </c>
      <c r="BK39" s="143" t="s">
        <v>267</v>
      </c>
      <c r="BL39" s="260">
        <v>0.3</v>
      </c>
      <c r="BM39" s="260">
        <v>0.7</v>
      </c>
      <c r="BN39" s="328">
        <v>87854634.83146067</v>
      </c>
      <c r="BO39" s="68" t="s">
        <v>437</v>
      </c>
      <c r="BP39" s="505">
        <v>24600000</v>
      </c>
      <c r="BQ39" s="196">
        <f>BL39*BN39*BP39</f>
        <v>648367205056179.75</v>
      </c>
      <c r="BR39" s="196">
        <f>BM39*BN39*BP39</f>
        <v>1512856811797752.5</v>
      </c>
      <c r="BS39" s="204">
        <f>BQ39/'EmUSD - EmR$'!$C$8</f>
        <v>196.47491062308478</v>
      </c>
      <c r="BT39" s="204">
        <f>BR39/'EmUSD - EmR$'!$C$8</f>
        <v>458.44145812053108</v>
      </c>
      <c r="BV39" s="466">
        <v>31</v>
      </c>
      <c r="BW39" s="143" t="s">
        <v>267</v>
      </c>
      <c r="BX39" s="260">
        <v>0.3</v>
      </c>
      <c r="BY39" s="260">
        <v>0.7</v>
      </c>
      <c r="BZ39" s="328">
        <v>87854634.83146067</v>
      </c>
      <c r="CA39" s="68" t="s">
        <v>437</v>
      </c>
      <c r="CB39" s="505">
        <v>24600000</v>
      </c>
      <c r="CC39" s="196">
        <f>BX39*BZ39*CB39</f>
        <v>648367205056179.75</v>
      </c>
      <c r="CD39" s="196">
        <f>BY39*BZ39*CB39</f>
        <v>1512856811797752.5</v>
      </c>
      <c r="CE39" s="204">
        <f>CC39/'EmUSD - EmR$'!$C$8</f>
        <v>196.47491062308478</v>
      </c>
      <c r="CF39" s="204">
        <f>CD39/'EmUSD - EmR$'!$C$8</f>
        <v>458.44145812053108</v>
      </c>
      <c r="CH39" s="466">
        <v>31</v>
      </c>
      <c r="CI39" s="143" t="s">
        <v>267</v>
      </c>
      <c r="CJ39" s="260">
        <v>0.3</v>
      </c>
      <c r="CK39" s="260">
        <v>0.7</v>
      </c>
      <c r="CL39" s="328">
        <v>87854634.83146067</v>
      </c>
      <c r="CM39" s="68" t="s">
        <v>437</v>
      </c>
      <c r="CN39" s="246">
        <v>24600000</v>
      </c>
      <c r="CO39" s="196">
        <f>CJ39*CL39*CN39</f>
        <v>648367205056179.75</v>
      </c>
      <c r="CP39" s="196">
        <f>CK39*CL39*CN39</f>
        <v>1512856811797752.5</v>
      </c>
      <c r="CQ39" s="204">
        <f>CO39/'EmUSD - EmR$'!$C$8</f>
        <v>196.47491062308478</v>
      </c>
      <c r="CR39" s="204">
        <f>CP39/'EmUSD - EmR$'!$C$8</f>
        <v>458.44145812053108</v>
      </c>
    </row>
    <row r="40" spans="2:109" s="30" customFormat="1" x14ac:dyDescent="0.25">
      <c r="B40" s="163">
        <v>32</v>
      </c>
      <c r="C40" s="187" t="s">
        <v>268</v>
      </c>
      <c r="D40" s="260">
        <v>0.3</v>
      </c>
      <c r="E40" s="260">
        <v>0.7</v>
      </c>
      <c r="F40" s="329">
        <f>'19-31 Restauração'!E195</f>
        <v>42921348.314606741</v>
      </c>
      <c r="G40" s="68" t="s">
        <v>437</v>
      </c>
      <c r="H40" s="507">
        <v>343000000</v>
      </c>
      <c r="I40" s="196">
        <f>D40*F40*H40</f>
        <v>4416606741573033.5</v>
      </c>
      <c r="J40" s="196">
        <f>E40*F40*H40</f>
        <v>1.0305415730337078E+16</v>
      </c>
      <c r="K40" s="204">
        <f>I40/'EmUSD - EmR$'!$C$8</f>
        <v>1338.3656792645556</v>
      </c>
      <c r="L40" s="322">
        <f>J40/'EmUSD - EmR$'!$C$8</f>
        <v>3122.8532516172963</v>
      </c>
      <c r="N40" s="163">
        <v>32</v>
      </c>
      <c r="O40" s="187" t="s">
        <v>268</v>
      </c>
      <c r="P40" s="260">
        <v>0.3</v>
      </c>
      <c r="Q40" s="260">
        <v>0.7</v>
      </c>
      <c r="R40" s="329">
        <f>'19-31 Restauração'!F195+F40</f>
        <v>60805243.445692882</v>
      </c>
      <c r="S40" s="68" t="s">
        <v>437</v>
      </c>
      <c r="T40" s="507">
        <v>343000000</v>
      </c>
      <c r="U40" s="196">
        <f>P40*R40*T40</f>
        <v>6256859550561798</v>
      </c>
      <c r="V40" s="196">
        <f>Q40*R40*T40</f>
        <v>1.459933895131086E+16</v>
      </c>
      <c r="W40" s="204">
        <f>U40/'EmUSD - EmR$'!$C$8</f>
        <v>1896.0180456247872</v>
      </c>
      <c r="X40" s="322">
        <f>V40/'EmUSD - EmR$'!$C$8</f>
        <v>4424.0421064578368</v>
      </c>
      <c r="Z40" s="163">
        <v>32</v>
      </c>
      <c r="AA40" s="187" t="s">
        <v>268</v>
      </c>
      <c r="AB40" s="260">
        <v>0.3</v>
      </c>
      <c r="AC40" s="260">
        <v>0.7</v>
      </c>
      <c r="AD40" s="329">
        <f>F40+('19-31 Restauração'!F195/2)</f>
        <v>51863295.880149812</v>
      </c>
      <c r="AE40" s="68" t="s">
        <v>437</v>
      </c>
      <c r="AF40" s="507">
        <v>343000000</v>
      </c>
      <c r="AG40" s="196">
        <f>AB40*AD40*AF40</f>
        <v>5336733146067415</v>
      </c>
      <c r="AH40" s="196">
        <f>AC40*AD40*AF40</f>
        <v>1.2452377340823968E+16</v>
      </c>
      <c r="AI40" s="204">
        <f>AG40/'EmUSD - EmR$'!$C$8</f>
        <v>1617.1918624446712</v>
      </c>
      <c r="AJ40" s="322">
        <f>AH40/'EmUSD - EmR$'!$C$8</f>
        <v>3773.4476790375661</v>
      </c>
      <c r="AL40" s="163">
        <v>32</v>
      </c>
      <c r="AM40" s="187" t="s">
        <v>268</v>
      </c>
      <c r="AN40" s="260">
        <v>0.3</v>
      </c>
      <c r="AO40" s="260">
        <v>0.7</v>
      </c>
      <c r="AP40" s="329">
        <v>60805243.445692882</v>
      </c>
      <c r="AQ40" s="68" t="s">
        <v>437</v>
      </c>
      <c r="AR40" s="247">
        <v>343000000</v>
      </c>
      <c r="AS40" s="196">
        <f>AN40*AP40*AR40</f>
        <v>6256859550561798</v>
      </c>
      <c r="AT40" s="196">
        <f>AO40*AP40*AR40</f>
        <v>1.459933895131086E+16</v>
      </c>
      <c r="AU40" s="204">
        <f>AS40/'EmUSD - EmR$'!$C$8</f>
        <v>1896.0180456247872</v>
      </c>
      <c r="AV40" s="322">
        <f>AT40/'EmUSD - EmR$'!$C$8</f>
        <v>4424.0421064578368</v>
      </c>
      <c r="AX40" s="163">
        <v>32</v>
      </c>
      <c r="AY40" s="187" t="s">
        <v>268</v>
      </c>
      <c r="AZ40" s="260">
        <v>0.3</v>
      </c>
      <c r="BA40" s="260">
        <v>0.7</v>
      </c>
      <c r="BB40" s="329">
        <v>60805243.445692882</v>
      </c>
      <c r="BC40" s="68" t="s">
        <v>437</v>
      </c>
      <c r="BD40" s="507">
        <v>343000000</v>
      </c>
      <c r="BE40" s="196">
        <f>AZ40*BB40*BD40</f>
        <v>6256859550561798</v>
      </c>
      <c r="BF40" s="196">
        <f>BA40*BB40*BD40</f>
        <v>1.459933895131086E+16</v>
      </c>
      <c r="BG40" s="204">
        <f>BE40/'EmUSD - EmR$'!$C$8</f>
        <v>1896.0180456247872</v>
      </c>
      <c r="BH40" s="322">
        <f>BF40/'EmUSD - EmR$'!$C$8</f>
        <v>4424.0421064578368</v>
      </c>
      <c r="BJ40" s="163">
        <v>32</v>
      </c>
      <c r="BK40" s="187" t="s">
        <v>268</v>
      </c>
      <c r="BL40" s="260">
        <v>0.3</v>
      </c>
      <c r="BM40" s="260">
        <v>0.7</v>
      </c>
      <c r="BN40" s="329">
        <v>60805243.445692882</v>
      </c>
      <c r="BO40" s="68" t="s">
        <v>437</v>
      </c>
      <c r="BP40" s="507">
        <v>343000000</v>
      </c>
      <c r="BQ40" s="196">
        <f>BL40*BN40*BP40</f>
        <v>6256859550561798</v>
      </c>
      <c r="BR40" s="196">
        <f>BM40*BN40*BP40</f>
        <v>1.459933895131086E+16</v>
      </c>
      <c r="BS40" s="204">
        <f>BQ40/'EmUSD - EmR$'!$C$8</f>
        <v>1896.0180456247872</v>
      </c>
      <c r="BT40" s="322">
        <f>BR40/'EmUSD - EmR$'!$C$8</f>
        <v>4424.0421064578368</v>
      </c>
      <c r="BV40" s="163">
        <v>32</v>
      </c>
      <c r="BW40" s="187" t="s">
        <v>268</v>
      </c>
      <c r="BX40" s="260">
        <v>0.3</v>
      </c>
      <c r="BY40" s="260">
        <v>0.7</v>
      </c>
      <c r="BZ40" s="329">
        <v>60805243.445692882</v>
      </c>
      <c r="CA40" s="68" t="s">
        <v>437</v>
      </c>
      <c r="CB40" s="507">
        <v>343000000</v>
      </c>
      <c r="CC40" s="196">
        <f>BX40*BZ40*CB40</f>
        <v>6256859550561798</v>
      </c>
      <c r="CD40" s="196">
        <f>BY40*BZ40*CB40</f>
        <v>1.459933895131086E+16</v>
      </c>
      <c r="CE40" s="204">
        <f>CC40/'EmUSD - EmR$'!$C$8</f>
        <v>1896.0180456247872</v>
      </c>
      <c r="CF40" s="322">
        <f>CD40/'EmUSD - EmR$'!$C$8</f>
        <v>4424.0421064578368</v>
      </c>
      <c r="CH40" s="163">
        <v>32</v>
      </c>
      <c r="CI40" s="187" t="s">
        <v>268</v>
      </c>
      <c r="CJ40" s="260">
        <v>0.3</v>
      </c>
      <c r="CK40" s="260">
        <v>0.7</v>
      </c>
      <c r="CL40" s="329">
        <v>60805243.445692882</v>
      </c>
      <c r="CM40" s="68" t="s">
        <v>437</v>
      </c>
      <c r="CN40" s="247">
        <v>343000000</v>
      </c>
      <c r="CO40" s="196">
        <f>CJ40*CL40*CN40</f>
        <v>6256859550561798</v>
      </c>
      <c r="CP40" s="196">
        <f>CK40*CL40*CN40</f>
        <v>1.459933895131086E+16</v>
      </c>
      <c r="CQ40" s="204">
        <f>CO40/'EmUSD - EmR$'!$C$8</f>
        <v>1896.0180456247872</v>
      </c>
      <c r="CR40" s="322">
        <f>CP40/'EmUSD - EmR$'!$C$8</f>
        <v>4424.0421064578368</v>
      </c>
    </row>
    <row r="41" spans="2:109" ht="15" customHeight="1" x14ac:dyDescent="0.25">
      <c r="B41" s="226"/>
      <c r="C41" s="265"/>
      <c r="D41" s="249"/>
      <c r="E41" s="249"/>
      <c r="F41" s="266"/>
      <c r="G41" s="200"/>
      <c r="H41" s="267"/>
      <c r="I41" s="267"/>
      <c r="J41" s="267"/>
      <c r="K41" s="268"/>
      <c r="L41" s="321"/>
      <c r="N41" s="226"/>
      <c r="O41" s="265"/>
      <c r="P41" s="249"/>
      <c r="Q41" s="249"/>
      <c r="R41" s="266"/>
      <c r="S41" s="200"/>
      <c r="T41" s="267"/>
      <c r="U41" s="267"/>
      <c r="V41" s="267"/>
      <c r="W41" s="268"/>
      <c r="X41" s="321"/>
      <c r="Z41" s="226"/>
      <c r="AA41" s="265"/>
      <c r="AB41" s="249"/>
      <c r="AC41" s="249"/>
      <c r="AD41" s="266"/>
      <c r="AE41" s="200"/>
      <c r="AF41" s="267"/>
      <c r="AG41" s="267"/>
      <c r="AH41" s="267"/>
      <c r="AI41" s="268"/>
      <c r="AJ41" s="321"/>
      <c r="AL41" s="226"/>
      <c r="AM41" s="265"/>
      <c r="AN41" s="249"/>
      <c r="AO41" s="249"/>
      <c r="AP41" s="266"/>
      <c r="AQ41" s="200"/>
      <c r="AR41" s="267"/>
      <c r="AS41" s="267"/>
      <c r="AT41" s="267"/>
      <c r="AU41" s="268"/>
      <c r="AV41" s="321"/>
      <c r="AX41" s="226"/>
      <c r="AY41" s="265"/>
      <c r="AZ41" s="249"/>
      <c r="BA41" s="249"/>
      <c r="BB41" s="266"/>
      <c r="BC41" s="200"/>
      <c r="BD41" s="267"/>
      <c r="BE41" s="267"/>
      <c r="BF41" s="267"/>
      <c r="BG41" s="268"/>
      <c r="BH41" s="321"/>
      <c r="BJ41" s="226"/>
      <c r="BK41" s="265"/>
      <c r="BL41" s="249"/>
      <c r="BM41" s="249"/>
      <c r="BN41" s="266"/>
      <c r="BO41" s="200"/>
      <c r="BP41" s="267"/>
      <c r="BQ41" s="267"/>
      <c r="BR41" s="267"/>
      <c r="BS41" s="268"/>
      <c r="BT41" s="321"/>
      <c r="BV41" s="226"/>
      <c r="BW41" s="265"/>
      <c r="BX41" s="249"/>
      <c r="BY41" s="249"/>
      <c r="BZ41" s="266"/>
      <c r="CA41" s="200"/>
      <c r="CB41" s="267"/>
      <c r="CC41" s="267"/>
      <c r="CD41" s="267"/>
      <c r="CE41" s="268"/>
      <c r="CF41" s="321"/>
      <c r="CH41" s="226"/>
      <c r="CI41" s="265"/>
      <c r="CJ41" s="249"/>
      <c r="CK41" s="249"/>
      <c r="CL41" s="266"/>
      <c r="CM41" s="200"/>
      <c r="CN41" s="267"/>
      <c r="CO41" s="267"/>
      <c r="CP41" s="267"/>
      <c r="CQ41" s="268"/>
      <c r="CR41" s="321"/>
      <c r="CT41" s="190"/>
      <c r="CU41" s="190" t="s">
        <v>445</v>
      </c>
      <c r="CV41" s="525" t="s">
        <v>16</v>
      </c>
      <c r="CW41" s="521"/>
      <c r="CX41" s="162" t="s">
        <v>443</v>
      </c>
      <c r="CY41" s="492" t="s">
        <v>70</v>
      </c>
      <c r="CZ41" s="492" t="s">
        <v>444</v>
      </c>
      <c r="DA41" s="492" t="s">
        <v>72</v>
      </c>
      <c r="DB41" s="492" t="s">
        <v>74</v>
      </c>
      <c r="DC41" s="492" t="s">
        <v>76</v>
      </c>
      <c r="DD41" s="492" t="s">
        <v>78</v>
      </c>
      <c r="DE41" s="492" t="s">
        <v>80</v>
      </c>
    </row>
    <row r="42" spans="2:109" s="68" customFormat="1" ht="15" customHeight="1" x14ac:dyDescent="0.25">
      <c r="B42" s="200" t="s">
        <v>388</v>
      </c>
      <c r="C42" s="265" t="s">
        <v>442</v>
      </c>
      <c r="D42" s="331"/>
      <c r="E42" s="331"/>
      <c r="F42" s="265"/>
      <c r="G42" s="265"/>
      <c r="H42" s="501">
        <f>SUM(K6:L40)</f>
        <v>14216.780507417265</v>
      </c>
      <c r="I42" s="201" t="s">
        <v>439</v>
      </c>
      <c r="J42" s="196"/>
      <c r="K42" s="377"/>
      <c r="L42" s="236"/>
      <c r="N42" s="200" t="s">
        <v>388</v>
      </c>
      <c r="O42" s="265" t="s">
        <v>442</v>
      </c>
      <c r="P42" s="331"/>
      <c r="Q42" s="331"/>
      <c r="R42" s="265"/>
      <c r="S42" s="265"/>
      <c r="T42" s="501">
        <f>SUM(W6:X40)</f>
        <v>23670.901561588038</v>
      </c>
      <c r="U42" s="201" t="s">
        <v>389</v>
      </c>
      <c r="V42" s="196"/>
      <c r="W42" s="236"/>
      <c r="X42" s="236"/>
      <c r="Z42" s="200" t="s">
        <v>388</v>
      </c>
      <c r="AA42" s="265" t="s">
        <v>442</v>
      </c>
      <c r="AB42" s="331"/>
      <c r="AC42" s="331"/>
      <c r="AD42" s="265"/>
      <c r="AE42" s="265"/>
      <c r="AF42" s="501">
        <f>SUM(AI6:AJ40)</f>
        <v>18779.51919241318</v>
      </c>
      <c r="AG42" s="201" t="s">
        <v>389</v>
      </c>
      <c r="AH42" s="196"/>
      <c r="AI42" s="468"/>
      <c r="AJ42" s="468"/>
      <c r="AL42" s="200" t="s">
        <v>388</v>
      </c>
      <c r="AM42" s="265" t="s">
        <v>442</v>
      </c>
      <c r="AN42" s="331"/>
      <c r="AO42" s="331"/>
      <c r="AP42" s="265"/>
      <c r="AQ42" s="265"/>
      <c r="AR42" s="501">
        <f>SUM(AU6:AV40)</f>
        <v>26156.889615905537</v>
      </c>
      <c r="AS42" s="201" t="s">
        <v>389</v>
      </c>
      <c r="AT42" s="196"/>
      <c r="AU42" s="468"/>
      <c r="AV42" s="468"/>
      <c r="AX42" s="200" t="s">
        <v>388</v>
      </c>
      <c r="AY42" s="265" t="s">
        <v>442</v>
      </c>
      <c r="AZ42" s="331"/>
      <c r="BA42" s="331"/>
      <c r="BB42" s="265"/>
      <c r="BC42" s="265"/>
      <c r="BD42" s="501">
        <f>SUM(BG6:BH40)</f>
        <v>28670.57096544985</v>
      </c>
      <c r="BE42" s="201" t="s">
        <v>389</v>
      </c>
      <c r="BF42" s="196"/>
      <c r="BG42" s="468"/>
      <c r="BH42" s="468"/>
      <c r="BJ42" s="200" t="s">
        <v>388</v>
      </c>
      <c r="BK42" s="265" t="s">
        <v>442</v>
      </c>
      <c r="BL42" s="331"/>
      <c r="BM42" s="331"/>
      <c r="BN42" s="265"/>
      <c r="BO42" s="265"/>
      <c r="BP42" s="501">
        <f>SUM(BS6:BT40)</f>
        <v>37567.250759635266</v>
      </c>
      <c r="BQ42" s="201" t="s">
        <v>389</v>
      </c>
      <c r="BR42" s="196"/>
      <c r="BS42" s="468"/>
      <c r="BT42" s="468"/>
      <c r="BV42" s="200" t="s">
        <v>388</v>
      </c>
      <c r="BW42" s="265" t="s">
        <v>442</v>
      </c>
      <c r="BX42" s="331"/>
      <c r="BY42" s="331"/>
      <c r="BZ42" s="265"/>
      <c r="CA42" s="265"/>
      <c r="CB42" s="501">
        <f>SUM(CE6:CF40)</f>
        <v>47712.051289173032</v>
      </c>
      <c r="CC42" s="201" t="s">
        <v>389</v>
      </c>
      <c r="CD42" s="196"/>
      <c r="CE42" s="468"/>
      <c r="CF42" s="468"/>
      <c r="CH42" s="200" t="s">
        <v>388</v>
      </c>
      <c r="CI42" s="265" t="s">
        <v>442</v>
      </c>
      <c r="CJ42" s="331"/>
      <c r="CK42" s="331"/>
      <c r="CL42" s="265"/>
      <c r="CM42" s="265"/>
      <c r="CN42" s="501">
        <f>SUM(CQ6:CR40)</f>
        <v>57237.782258685314</v>
      </c>
      <c r="CO42" s="201" t="s">
        <v>389</v>
      </c>
      <c r="CP42" s="196"/>
      <c r="CQ42" s="468"/>
      <c r="CR42" s="468"/>
      <c r="CT42" s="200" t="s">
        <v>388</v>
      </c>
      <c r="CU42" s="265" t="s">
        <v>442</v>
      </c>
      <c r="CV42" s="201" t="s">
        <v>389</v>
      </c>
      <c r="CX42" s="516">
        <f t="shared" ref="CX42:CX53" si="33">H42</f>
        <v>14216.780507417265</v>
      </c>
      <c r="CY42" s="517">
        <f t="shared" ref="CY42:CY53" si="34">AF42</f>
        <v>18779.51919241318</v>
      </c>
      <c r="CZ42" s="517">
        <f t="shared" ref="CZ42:CZ53" si="35">T42</f>
        <v>23670.901561588038</v>
      </c>
      <c r="DA42" s="517">
        <f t="shared" ref="DA42:DA53" si="36">AR42</f>
        <v>26156.889615905537</v>
      </c>
      <c r="DB42" s="517">
        <f t="shared" ref="DB42:DB53" si="37">BD42</f>
        <v>28670.57096544985</v>
      </c>
      <c r="DC42" s="517">
        <f t="shared" ref="DC42:DC53" si="38">BP42</f>
        <v>37567.250759635266</v>
      </c>
      <c r="DD42" s="517">
        <f t="shared" ref="DD42:DD53" si="39">CB42</f>
        <v>47712.051289173032</v>
      </c>
      <c r="DE42" s="517">
        <f t="shared" ref="DE42:DE53" si="40">CN42</f>
        <v>57237.782258685314</v>
      </c>
    </row>
    <row r="43" spans="2:109" s="68" customFormat="1" ht="15" customHeight="1" x14ac:dyDescent="0.25">
      <c r="B43" s="52" t="s">
        <v>328</v>
      </c>
      <c r="C43" s="68" t="s">
        <v>441</v>
      </c>
      <c r="D43" s="263"/>
      <c r="E43" s="263"/>
      <c r="H43" s="515">
        <f>'Restaura - bens '!G71/1.5</f>
        <v>1199438870615.9021</v>
      </c>
      <c r="I43" s="144" t="s">
        <v>437</v>
      </c>
      <c r="J43" s="196"/>
      <c r="K43" s="490"/>
      <c r="L43" s="490"/>
      <c r="N43" s="52" t="s">
        <v>328</v>
      </c>
      <c r="O43" s="68" t="s">
        <v>441</v>
      </c>
      <c r="P43" s="263"/>
      <c r="Q43" s="263"/>
      <c r="T43" s="515">
        <f>('Restaura - bens '!G71*2)/1.5</f>
        <v>2398877741231.8042</v>
      </c>
      <c r="U43" s="144" t="s">
        <v>437</v>
      </c>
      <c r="V43" s="196"/>
      <c r="W43" s="490"/>
      <c r="X43" s="490"/>
      <c r="Z43" s="52" t="s">
        <v>328</v>
      </c>
      <c r="AA43" s="68" t="s">
        <v>441</v>
      </c>
      <c r="AB43" s="263"/>
      <c r="AC43" s="263"/>
      <c r="AF43" s="515">
        <f>'Restaura - bens '!G71</f>
        <v>1799158305923.853</v>
      </c>
      <c r="AG43" s="144" t="s">
        <v>437</v>
      </c>
      <c r="AH43" s="196"/>
      <c r="AI43" s="490"/>
      <c r="AJ43" s="490"/>
      <c r="AL43" s="52" t="s">
        <v>328</v>
      </c>
      <c r="AM43" s="68" t="s">
        <v>441</v>
      </c>
      <c r="AN43" s="263"/>
      <c r="AO43" s="263"/>
      <c r="AR43" s="515">
        <f>'Restaura - bens '!G72</f>
        <v>1959685724568.6218</v>
      </c>
      <c r="AS43" s="144" t="s">
        <v>437</v>
      </c>
      <c r="AT43" s="196"/>
      <c r="AU43" s="490"/>
      <c r="AV43" s="490"/>
      <c r="AX43" s="52" t="s">
        <v>328</v>
      </c>
      <c r="AY43" s="68" t="s">
        <v>441</v>
      </c>
      <c r="AZ43" s="263"/>
      <c r="BA43" s="263"/>
      <c r="BD43" s="515">
        <f>'Restaura - bens '!G73</f>
        <v>1531290813085.5974</v>
      </c>
      <c r="BE43" s="144" t="s">
        <v>437</v>
      </c>
      <c r="BF43" s="196"/>
      <c r="BG43" s="490"/>
      <c r="BH43" s="490"/>
      <c r="BJ43" s="52" t="s">
        <v>328</v>
      </c>
      <c r="BK43" s="68" t="s">
        <v>441</v>
      </c>
      <c r="BL43" s="263"/>
      <c r="BM43" s="263"/>
      <c r="BP43" s="515">
        <f>'Restaura - bens '!G74</f>
        <v>3135541314205.8574</v>
      </c>
      <c r="BQ43" s="144" t="s">
        <v>437</v>
      </c>
      <c r="BR43" s="196"/>
      <c r="BS43" s="490"/>
      <c r="BT43" s="490"/>
      <c r="BV43" s="52" t="s">
        <v>328</v>
      </c>
      <c r="BW43" s="68" t="s">
        <v>441</v>
      </c>
      <c r="BX43" s="263"/>
      <c r="BY43" s="263"/>
      <c r="CB43" s="515">
        <f>'Restaura - bens '!G75</f>
        <v>5380493003526.8164</v>
      </c>
      <c r="CC43" s="144" t="s">
        <v>437</v>
      </c>
      <c r="CD43" s="196"/>
      <c r="CE43" s="490"/>
      <c r="CF43" s="490"/>
      <c r="CH43" s="52" t="s">
        <v>328</v>
      </c>
      <c r="CI43" s="68" t="s">
        <v>441</v>
      </c>
      <c r="CJ43" s="263"/>
      <c r="CK43" s="263"/>
      <c r="CN43" s="515">
        <f>'Restaura - bens '!G76</f>
        <v>5455291834455.9531</v>
      </c>
      <c r="CO43" s="144" t="s">
        <v>437</v>
      </c>
      <c r="CP43" s="196"/>
      <c r="CQ43" s="490"/>
      <c r="CR43" s="490"/>
      <c r="CT43" s="52" t="s">
        <v>328</v>
      </c>
      <c r="CU43" s="68" t="s">
        <v>441</v>
      </c>
      <c r="CV43" s="144" t="s">
        <v>437</v>
      </c>
      <c r="CX43" s="518">
        <f t="shared" si="33"/>
        <v>1199438870615.9021</v>
      </c>
      <c r="CY43" s="519">
        <f t="shared" si="34"/>
        <v>1799158305923.853</v>
      </c>
      <c r="CZ43" s="519">
        <f t="shared" si="35"/>
        <v>2398877741231.8042</v>
      </c>
      <c r="DA43" s="519">
        <f t="shared" si="36"/>
        <v>1959685724568.6218</v>
      </c>
      <c r="DB43" s="519">
        <f t="shared" si="37"/>
        <v>1531290813085.5974</v>
      </c>
      <c r="DC43" s="519">
        <f t="shared" si="38"/>
        <v>3135541314205.8574</v>
      </c>
      <c r="DD43" s="519">
        <f t="shared" si="39"/>
        <v>5380493003526.8164</v>
      </c>
      <c r="DE43" s="519">
        <f t="shared" si="40"/>
        <v>5455291834455.9531</v>
      </c>
    </row>
    <row r="44" spans="2:109" s="68" customFormat="1" ht="15" customHeight="1" x14ac:dyDescent="0.25">
      <c r="B44" s="52" t="s">
        <v>299</v>
      </c>
      <c r="C44" s="68" t="s">
        <v>350</v>
      </c>
      <c r="D44" s="263"/>
      <c r="E44" s="263"/>
      <c r="F44" s="526">
        <f>H44/'EmUSD - EmR$'!C8</f>
        <v>2502.1768638348858</v>
      </c>
      <c r="G44" s="195" t="s">
        <v>439</v>
      </c>
      <c r="H44" s="205">
        <f>SUM(I6:I24,J26,J27)</f>
        <v>8257183650655123</v>
      </c>
      <c r="I44" s="195" t="s">
        <v>440</v>
      </c>
      <c r="J44" s="196"/>
      <c r="L44" s="236"/>
      <c r="N44" s="52" t="s">
        <v>299</v>
      </c>
      <c r="O44" s="68" t="s">
        <v>350</v>
      </c>
      <c r="P44" s="263"/>
      <c r="Q44" s="263"/>
      <c r="R44" s="526">
        <f>T44/'EmUSD - EmR$'!C8</f>
        <v>5081.7767982976566</v>
      </c>
      <c r="S44" s="195" t="s">
        <v>439</v>
      </c>
      <c r="T44" s="205">
        <f>SUM(U6:U24,V26,V27)</f>
        <v>1.6769863434382266E+16</v>
      </c>
      <c r="U44" s="195" t="s">
        <v>440</v>
      </c>
      <c r="V44" s="196"/>
      <c r="W44" s="236"/>
      <c r="X44" s="236"/>
      <c r="Z44" s="52" t="s">
        <v>299</v>
      </c>
      <c r="AA44" s="68" t="s">
        <v>350</v>
      </c>
      <c r="AB44" s="263"/>
      <c r="AC44" s="263"/>
      <c r="AD44" s="526">
        <f>AF44/'EmUSD - EmR$'!C8</f>
        <v>3627.6549889767998</v>
      </c>
      <c r="AE44" s="195" t="s">
        <v>439</v>
      </c>
      <c r="AF44" s="205">
        <f>SUM(AG6:AG24,AH26,AH27)</f>
        <v>1.197126146362344E+16</v>
      </c>
      <c r="AG44" s="195" t="s">
        <v>440</v>
      </c>
      <c r="AH44" s="196"/>
      <c r="AI44" s="468"/>
      <c r="AJ44" s="468"/>
      <c r="AL44" s="52" t="s">
        <v>299</v>
      </c>
      <c r="AM44" s="68" t="s">
        <v>350</v>
      </c>
      <c r="AN44" s="263"/>
      <c r="AO44" s="263"/>
      <c r="AR44" s="205">
        <f>SUM(AS6:AS24,AT26,AT27)</f>
        <v>2.4973624013630016E+16</v>
      </c>
      <c r="AS44" s="195" t="s">
        <v>440</v>
      </c>
      <c r="AT44" s="196"/>
      <c r="AU44" s="468"/>
      <c r="AV44" s="468"/>
      <c r="AX44" s="52" t="s">
        <v>299</v>
      </c>
      <c r="AY44" s="68" t="s">
        <v>350</v>
      </c>
      <c r="AZ44" s="263"/>
      <c r="BA44" s="263"/>
      <c r="BD44" s="205">
        <f>SUM(BE6:BE24,BF26,BF27)</f>
        <v>3.3268772467126248E+16</v>
      </c>
      <c r="BE44" s="195" t="s">
        <v>440</v>
      </c>
      <c r="BF44" s="196"/>
      <c r="BG44" s="468"/>
      <c r="BH44" s="468"/>
      <c r="BJ44" s="52" t="s">
        <v>299</v>
      </c>
      <c r="BK44" s="68" t="s">
        <v>350</v>
      </c>
      <c r="BL44" s="263"/>
      <c r="BM44" s="263"/>
      <c r="BP44" s="205">
        <f>SUM(BQ6:BQ24,BR26,BR27)</f>
        <v>6.262781578793812E+16</v>
      </c>
      <c r="BQ44" s="195" t="s">
        <v>440</v>
      </c>
      <c r="BR44" s="196"/>
      <c r="BS44" s="468"/>
      <c r="BT44" s="468"/>
      <c r="BV44" s="52" t="s">
        <v>299</v>
      </c>
      <c r="BW44" s="68" t="s">
        <v>350</v>
      </c>
      <c r="BX44" s="263"/>
      <c r="BY44" s="263"/>
      <c r="CB44" s="205">
        <f>SUM(CC6:CC24,CD26,CD27)</f>
        <v>9.6105657535412656E+16</v>
      </c>
      <c r="CC44" s="195" t="s">
        <v>440</v>
      </c>
      <c r="CD44" s="196"/>
      <c r="CE44" s="468"/>
      <c r="CF44" s="468"/>
      <c r="CH44" s="52" t="s">
        <v>299</v>
      </c>
      <c r="CI44" s="68" t="s">
        <v>350</v>
      </c>
      <c r="CJ44" s="263"/>
      <c r="CK44" s="263"/>
      <c r="CN44" s="205">
        <f>SUM(CO6:CO24,CP26,CP27)</f>
        <v>1.2754056973480325E+17</v>
      </c>
      <c r="CO44" s="195" t="s">
        <v>440</v>
      </c>
      <c r="CP44" s="196"/>
      <c r="CQ44" s="468"/>
      <c r="CR44" s="468"/>
      <c r="CT44" s="52" t="s">
        <v>299</v>
      </c>
      <c r="CU44" s="68" t="s">
        <v>350</v>
      </c>
      <c r="CV44" s="195" t="s">
        <v>440</v>
      </c>
      <c r="CX44" s="518">
        <f t="shared" si="33"/>
        <v>8257183650655123</v>
      </c>
      <c r="CY44" s="519">
        <f t="shared" si="34"/>
        <v>1.197126146362344E+16</v>
      </c>
      <c r="CZ44" s="519">
        <f t="shared" si="35"/>
        <v>1.6769863434382266E+16</v>
      </c>
      <c r="DA44" s="519">
        <f t="shared" si="36"/>
        <v>2.4973624013630016E+16</v>
      </c>
      <c r="DB44" s="519">
        <f t="shared" si="37"/>
        <v>3.3268772467126248E+16</v>
      </c>
      <c r="DC44" s="519">
        <f t="shared" si="38"/>
        <v>6.262781578793812E+16</v>
      </c>
      <c r="DD44" s="519">
        <f t="shared" si="39"/>
        <v>9.6105657535412656E+16</v>
      </c>
      <c r="DE44" s="519">
        <f t="shared" si="40"/>
        <v>1.2754056973480325E+17</v>
      </c>
    </row>
    <row r="45" spans="2:109" s="68" customFormat="1" ht="15" customHeight="1" x14ac:dyDescent="0.25">
      <c r="B45" s="52" t="s">
        <v>349</v>
      </c>
      <c r="C45" s="68" t="s">
        <v>353</v>
      </c>
      <c r="D45" s="263"/>
      <c r="E45" s="263"/>
      <c r="F45" s="526">
        <f>H45/'EmUSD - EmR$'!C8</f>
        <v>11714.603643582379</v>
      </c>
      <c r="G45" s="195" t="s">
        <v>439</v>
      </c>
      <c r="H45" s="205">
        <f>SUM(I29:J40)</f>
        <v>3.8658192023821848E+16</v>
      </c>
      <c r="I45" s="195" t="s">
        <v>440</v>
      </c>
      <c r="J45" s="196"/>
      <c r="K45" s="236"/>
      <c r="L45" s="236"/>
      <c r="N45" s="52" t="s">
        <v>349</v>
      </c>
      <c r="O45" s="68" t="s">
        <v>353</v>
      </c>
      <c r="P45" s="263"/>
      <c r="Q45" s="263"/>
      <c r="R45" s="526">
        <f>T45/'EmUSD - EmR$'!C8</f>
        <v>18589.12476329038</v>
      </c>
      <c r="S45" s="195" t="s">
        <v>439</v>
      </c>
      <c r="T45" s="205">
        <f>SUM(U29:V40)</f>
        <v>6.1344111718858256E+16</v>
      </c>
      <c r="U45" s="195" t="s">
        <v>440</v>
      </c>
      <c r="V45" s="196"/>
      <c r="W45" s="236"/>
      <c r="X45" s="236"/>
      <c r="Z45" s="52" t="s">
        <v>349</v>
      </c>
      <c r="AA45" s="68" t="s">
        <v>353</v>
      </c>
      <c r="AB45" s="263"/>
      <c r="AC45" s="263"/>
      <c r="AD45" s="526">
        <f>AF45/'EmUSD - EmR$'!C8</f>
        <v>15151.864203436378</v>
      </c>
      <c r="AE45" s="195" t="s">
        <v>439</v>
      </c>
      <c r="AF45" s="205">
        <f>SUM(AG29:AH40)</f>
        <v>5.0001151871340048E+16</v>
      </c>
      <c r="AG45" s="195" t="s">
        <v>440</v>
      </c>
      <c r="AH45" s="196"/>
      <c r="AI45" s="468"/>
      <c r="AJ45" s="468"/>
      <c r="AL45" s="52" t="s">
        <v>349</v>
      </c>
      <c r="AM45" s="68" t="s">
        <v>353</v>
      </c>
      <c r="AN45" s="263"/>
      <c r="AO45" s="263"/>
      <c r="AR45" s="205">
        <f>SUM(AS29:AT40)</f>
        <v>6.1344111718858256E+16</v>
      </c>
      <c r="AS45" s="195" t="s">
        <v>440</v>
      </c>
      <c r="AT45" s="196"/>
      <c r="AU45" s="468"/>
      <c r="AV45" s="468"/>
      <c r="AX45" s="52" t="s">
        <v>349</v>
      </c>
      <c r="AY45" s="68" t="s">
        <v>353</v>
      </c>
      <c r="AZ45" s="263"/>
      <c r="BA45" s="263"/>
      <c r="BD45" s="205">
        <f>SUM(BE29:BF40)</f>
        <v>6.1344111718858256E+16</v>
      </c>
      <c r="BE45" s="195" t="s">
        <v>440</v>
      </c>
      <c r="BF45" s="196"/>
      <c r="BG45" s="468"/>
      <c r="BH45" s="468"/>
      <c r="BJ45" s="52" t="s">
        <v>349</v>
      </c>
      <c r="BK45" s="68" t="s">
        <v>353</v>
      </c>
      <c r="BL45" s="263"/>
      <c r="BM45" s="263"/>
      <c r="BP45" s="205">
        <f>SUM(BQ29:BR40)</f>
        <v>6.1344111718858256E+16</v>
      </c>
      <c r="BQ45" s="195" t="s">
        <v>440</v>
      </c>
      <c r="BR45" s="196"/>
      <c r="BS45" s="527"/>
      <c r="BT45" s="468"/>
      <c r="BV45" s="52" t="s">
        <v>349</v>
      </c>
      <c r="BW45" s="68" t="s">
        <v>353</v>
      </c>
      <c r="BX45" s="263"/>
      <c r="BY45" s="263"/>
      <c r="CB45" s="205">
        <f>SUM(CC29:CD40)</f>
        <v>6.1344111718858256E+16</v>
      </c>
      <c r="CC45" s="195" t="s">
        <v>440</v>
      </c>
      <c r="CD45" s="196"/>
      <c r="CE45" s="468"/>
      <c r="CF45" s="527"/>
      <c r="CH45" s="52" t="s">
        <v>349</v>
      </c>
      <c r="CI45" s="68" t="s">
        <v>353</v>
      </c>
      <c r="CJ45" s="263"/>
      <c r="CK45" s="263"/>
      <c r="CN45" s="205">
        <f>SUM(CO29:CP40)</f>
        <v>6.1344111718858256E+16</v>
      </c>
      <c r="CO45" s="195" t="s">
        <v>440</v>
      </c>
      <c r="CP45" s="196"/>
      <c r="CQ45" s="468"/>
      <c r="CR45" s="468"/>
      <c r="CT45" s="52" t="s">
        <v>349</v>
      </c>
      <c r="CU45" s="68" t="s">
        <v>353</v>
      </c>
      <c r="CV45" s="195" t="s">
        <v>440</v>
      </c>
      <c r="CX45" s="518">
        <f t="shared" si="33"/>
        <v>3.8658192023821848E+16</v>
      </c>
      <c r="CY45" s="519">
        <f t="shared" si="34"/>
        <v>5.0001151871340048E+16</v>
      </c>
      <c r="CZ45" s="519">
        <f t="shared" si="35"/>
        <v>6.1344111718858256E+16</v>
      </c>
      <c r="DA45" s="519">
        <f t="shared" si="36"/>
        <v>6.1344111718858256E+16</v>
      </c>
      <c r="DB45" s="519">
        <f t="shared" si="37"/>
        <v>6.1344111718858256E+16</v>
      </c>
      <c r="DC45" s="519">
        <f t="shared" si="38"/>
        <v>6.1344111718858256E+16</v>
      </c>
      <c r="DD45" s="519">
        <f t="shared" si="39"/>
        <v>6.1344111718858256E+16</v>
      </c>
      <c r="DE45" s="519">
        <f t="shared" si="40"/>
        <v>6.1344111718858256E+16</v>
      </c>
    </row>
    <row r="46" spans="2:109" s="68" customFormat="1" ht="15" customHeight="1" x14ac:dyDescent="0.25">
      <c r="B46" s="52" t="s">
        <v>360</v>
      </c>
      <c r="C46" s="68" t="s">
        <v>351</v>
      </c>
      <c r="D46" s="263"/>
      <c r="E46" s="263"/>
      <c r="H46" s="205">
        <f>SUM(J26:J27)</f>
        <v>294046560000000</v>
      </c>
      <c r="I46" s="195" t="s">
        <v>440</v>
      </c>
      <c r="J46" s="196"/>
      <c r="K46" s="236"/>
      <c r="L46" s="236"/>
      <c r="N46" s="52" t="s">
        <v>360</v>
      </c>
      <c r="O46" s="68" t="s">
        <v>351</v>
      </c>
      <c r="P46" s="263"/>
      <c r="Q46" s="263"/>
      <c r="T46" s="205">
        <f>SUM(V26:V27)</f>
        <v>588093120000000</v>
      </c>
      <c r="U46" s="195" t="s">
        <v>440</v>
      </c>
      <c r="V46" s="196"/>
      <c r="W46" s="236"/>
      <c r="X46" s="236"/>
      <c r="Z46" s="52" t="s">
        <v>360</v>
      </c>
      <c r="AA46" s="68" t="s">
        <v>351</v>
      </c>
      <c r="AB46" s="263"/>
      <c r="AC46" s="263"/>
      <c r="AF46" s="205">
        <f>SUM(AH26:AH27)</f>
        <v>441069840000000</v>
      </c>
      <c r="AG46" s="195" t="s">
        <v>440</v>
      </c>
      <c r="AH46" s="196"/>
      <c r="AI46" s="468"/>
      <c r="AJ46" s="468"/>
      <c r="AL46" s="52" t="s">
        <v>360</v>
      </c>
      <c r="AM46" s="68" t="s">
        <v>351</v>
      </c>
      <c r="AN46" s="263"/>
      <c r="AO46" s="263"/>
      <c r="AR46" s="205">
        <f>SUM(AT26:AT27)</f>
        <v>674493120000000</v>
      </c>
      <c r="AS46" s="195" t="s">
        <v>440</v>
      </c>
      <c r="AT46" s="196"/>
      <c r="AU46" s="468"/>
      <c r="AV46" s="468"/>
      <c r="AX46" s="52" t="s">
        <v>360</v>
      </c>
      <c r="AY46" s="68" t="s">
        <v>351</v>
      </c>
      <c r="AZ46" s="263"/>
      <c r="BA46" s="263"/>
      <c r="BD46" s="205">
        <f>SUM(BF26:BF27)</f>
        <v>760893120000000</v>
      </c>
      <c r="BE46" s="195" t="s">
        <v>440</v>
      </c>
      <c r="BF46" s="196"/>
      <c r="BG46" s="468"/>
      <c r="BH46" s="468"/>
      <c r="BJ46" s="52" t="s">
        <v>360</v>
      </c>
      <c r="BK46" s="68" t="s">
        <v>351</v>
      </c>
      <c r="BL46" s="263"/>
      <c r="BM46" s="263"/>
      <c r="BP46" s="205">
        <f>SUM(BR26:BR27)</f>
        <v>933693120000000</v>
      </c>
      <c r="BQ46" s="195" t="s">
        <v>440</v>
      </c>
      <c r="BR46" s="196"/>
      <c r="BS46" s="468"/>
      <c r="BT46" s="468"/>
      <c r="BV46" s="52" t="s">
        <v>360</v>
      </c>
      <c r="BW46" s="68" t="s">
        <v>351</v>
      </c>
      <c r="BX46" s="263"/>
      <c r="BY46" s="263"/>
      <c r="CB46" s="205">
        <f>SUM(CD26:CD27)</f>
        <v>1106493120000000</v>
      </c>
      <c r="CC46" s="195" t="s">
        <v>440</v>
      </c>
      <c r="CD46" s="196"/>
      <c r="CE46" s="468"/>
      <c r="CF46" s="468"/>
      <c r="CH46" s="52" t="s">
        <v>360</v>
      </c>
      <c r="CI46" s="68" t="s">
        <v>351</v>
      </c>
      <c r="CJ46" s="263"/>
      <c r="CK46" s="263"/>
      <c r="CN46" s="205">
        <f>SUM(CP26:CP27)</f>
        <v>1279293120000000</v>
      </c>
      <c r="CO46" s="195" t="s">
        <v>440</v>
      </c>
      <c r="CP46" s="196"/>
      <c r="CQ46" s="527"/>
      <c r="CR46" s="468"/>
      <c r="CT46" s="52" t="s">
        <v>360</v>
      </c>
      <c r="CU46" s="68" t="s">
        <v>351</v>
      </c>
      <c r="CV46" s="195" t="s">
        <v>440</v>
      </c>
      <c r="CX46" s="518">
        <f t="shared" si="33"/>
        <v>294046560000000</v>
      </c>
      <c r="CY46" s="519">
        <f t="shared" si="34"/>
        <v>441069840000000</v>
      </c>
      <c r="CZ46" s="519">
        <f t="shared" si="35"/>
        <v>588093120000000</v>
      </c>
      <c r="DA46" s="519">
        <f t="shared" si="36"/>
        <v>674493120000000</v>
      </c>
      <c r="DB46" s="519">
        <f t="shared" si="37"/>
        <v>760893120000000</v>
      </c>
      <c r="DC46" s="519">
        <f t="shared" si="38"/>
        <v>933693120000000</v>
      </c>
      <c r="DD46" s="519">
        <f t="shared" si="39"/>
        <v>1106493120000000</v>
      </c>
      <c r="DE46" s="519">
        <f t="shared" si="40"/>
        <v>1279293120000000</v>
      </c>
    </row>
    <row r="47" spans="2:109" s="68" customFormat="1" ht="15" customHeight="1" x14ac:dyDescent="0.25">
      <c r="B47" s="52" t="s">
        <v>361</v>
      </c>
      <c r="C47" s="68" t="s">
        <v>352</v>
      </c>
      <c r="D47" s="263"/>
      <c r="E47" s="263"/>
      <c r="H47" s="205">
        <f>SUM(I6:I24)</f>
        <v>7963137090655123</v>
      </c>
      <c r="I47" s="195" t="s">
        <v>440</v>
      </c>
      <c r="J47" s="196"/>
      <c r="K47" s="236"/>
      <c r="L47" s="236"/>
      <c r="N47" s="52" t="s">
        <v>361</v>
      </c>
      <c r="O47" s="68" t="s">
        <v>352</v>
      </c>
      <c r="P47" s="263"/>
      <c r="Q47" s="263"/>
      <c r="T47" s="205">
        <f>SUM(U6:U24)</f>
        <v>1.6181770314382266E+16</v>
      </c>
      <c r="U47" s="195" t="s">
        <v>440</v>
      </c>
      <c r="V47" s="196"/>
      <c r="W47" s="236"/>
      <c r="X47" s="236"/>
      <c r="Z47" s="52" t="s">
        <v>361</v>
      </c>
      <c r="AA47" s="68" t="s">
        <v>352</v>
      </c>
      <c r="AB47" s="263"/>
      <c r="AC47" s="263"/>
      <c r="AF47" s="205">
        <f>SUM(AG6:AG24)</f>
        <v>1.153019162362344E+16</v>
      </c>
      <c r="AG47" s="195" t="s">
        <v>440</v>
      </c>
      <c r="AH47" s="196"/>
      <c r="AI47" s="468"/>
      <c r="AJ47" s="468"/>
      <c r="AL47" s="52" t="s">
        <v>361</v>
      </c>
      <c r="AM47" s="68" t="s">
        <v>352</v>
      </c>
      <c r="AN47" s="263"/>
      <c r="AO47" s="263"/>
      <c r="AR47" s="205">
        <f>SUM(AS6:AS24)</f>
        <v>2.4299130893630016E+16</v>
      </c>
      <c r="AS47" s="195" t="s">
        <v>440</v>
      </c>
      <c r="AT47" s="196"/>
      <c r="AU47" s="468"/>
      <c r="AV47" s="468"/>
      <c r="AX47" s="52" t="s">
        <v>361</v>
      </c>
      <c r="AY47" s="68" t="s">
        <v>352</v>
      </c>
      <c r="AZ47" s="263"/>
      <c r="BA47" s="263"/>
      <c r="BD47" s="205">
        <f>SUM(BE6:BE24)</f>
        <v>3.2507879347126248E+16</v>
      </c>
      <c r="BE47" s="195" t="s">
        <v>440</v>
      </c>
      <c r="BF47" s="196"/>
      <c r="BG47" s="527"/>
      <c r="BH47" s="468"/>
      <c r="BJ47" s="52" t="s">
        <v>361</v>
      </c>
      <c r="BK47" s="68" t="s">
        <v>352</v>
      </c>
      <c r="BL47" s="263"/>
      <c r="BM47" s="263"/>
      <c r="BP47" s="205">
        <f>SUM(BQ6:BQ24)</f>
        <v>6.169412266793812E+16</v>
      </c>
      <c r="BQ47" s="195" t="s">
        <v>440</v>
      </c>
      <c r="BR47" s="196"/>
      <c r="BS47" s="468"/>
      <c r="BT47" s="468"/>
      <c r="BV47" s="52" t="s">
        <v>361</v>
      </c>
      <c r="BW47" s="68" t="s">
        <v>352</v>
      </c>
      <c r="BX47" s="263"/>
      <c r="BY47" s="263"/>
      <c r="CB47" s="205">
        <f>SUM(CC6:CC24)</f>
        <v>9.4999164415412656E+16</v>
      </c>
      <c r="CC47" s="195" t="s">
        <v>440</v>
      </c>
      <c r="CD47" s="196"/>
      <c r="CE47" s="468"/>
      <c r="CF47" s="468"/>
      <c r="CH47" s="52" t="s">
        <v>361</v>
      </c>
      <c r="CI47" s="68" t="s">
        <v>352</v>
      </c>
      <c r="CJ47" s="263"/>
      <c r="CK47" s="263"/>
      <c r="CN47" s="205">
        <f>SUM(CO6:CO24)</f>
        <v>1.2626127661480325E+17</v>
      </c>
      <c r="CO47" s="195" t="s">
        <v>440</v>
      </c>
      <c r="CP47" s="196"/>
      <c r="CQ47" s="468"/>
      <c r="CR47" s="468"/>
      <c r="CT47" s="52" t="s">
        <v>361</v>
      </c>
      <c r="CU47" s="68" t="s">
        <v>352</v>
      </c>
      <c r="CV47" s="195" t="s">
        <v>440</v>
      </c>
      <c r="CX47" s="518">
        <f t="shared" si="33"/>
        <v>7963137090655123</v>
      </c>
      <c r="CY47" s="519">
        <f t="shared" si="34"/>
        <v>1.153019162362344E+16</v>
      </c>
      <c r="CZ47" s="519">
        <f t="shared" si="35"/>
        <v>1.6181770314382266E+16</v>
      </c>
      <c r="DA47" s="519">
        <f t="shared" si="36"/>
        <v>2.4299130893630016E+16</v>
      </c>
      <c r="DB47" s="519">
        <f t="shared" si="37"/>
        <v>3.2507879347126248E+16</v>
      </c>
      <c r="DC47" s="519">
        <f t="shared" si="38"/>
        <v>6.169412266793812E+16</v>
      </c>
      <c r="DD47" s="519">
        <f t="shared" si="39"/>
        <v>9.4999164415412656E+16</v>
      </c>
      <c r="DE47" s="519">
        <f t="shared" si="40"/>
        <v>1.2626127661480325E+17</v>
      </c>
    </row>
    <row r="48" spans="2:109" s="68" customFormat="1" ht="15" customHeight="1" x14ac:dyDescent="0.25">
      <c r="B48" s="52" t="s">
        <v>362</v>
      </c>
      <c r="C48" s="68" t="s">
        <v>354</v>
      </c>
      <c r="D48" s="263"/>
      <c r="E48" s="263"/>
      <c r="H48" s="205">
        <f>SUM(J29:J40)</f>
        <v>3.2195470149723352E+16</v>
      </c>
      <c r="I48" s="195" t="s">
        <v>440</v>
      </c>
      <c r="J48" s="196"/>
      <c r="K48" s="236"/>
      <c r="L48" s="236"/>
      <c r="N48" s="52" t="s">
        <v>362</v>
      </c>
      <c r="O48" s="68" t="s">
        <v>354</v>
      </c>
      <c r="P48" s="263"/>
      <c r="Q48" s="263"/>
      <c r="T48" s="205">
        <f>SUM(V29:V40)</f>
        <v>5.282666442341144E+16</v>
      </c>
      <c r="U48" s="195" t="s">
        <v>440</v>
      </c>
      <c r="V48" s="196"/>
      <c r="W48" s="236"/>
      <c r="X48" s="236"/>
      <c r="Z48" s="52" t="s">
        <v>362</v>
      </c>
      <c r="AA48" s="68" t="s">
        <v>354</v>
      </c>
      <c r="AB48" s="263"/>
      <c r="AC48" s="263"/>
      <c r="AF48" s="205">
        <f>SUM(AH29:AH40)</f>
        <v>4.2511067286567392E+16</v>
      </c>
      <c r="AG48" s="195" t="s">
        <v>440</v>
      </c>
      <c r="AH48" s="196"/>
      <c r="AI48" s="468"/>
      <c r="AJ48" s="468"/>
      <c r="AL48" s="52" t="s">
        <v>362</v>
      </c>
      <c r="AM48" s="68" t="s">
        <v>354</v>
      </c>
      <c r="AN48" s="263"/>
      <c r="AO48" s="263"/>
      <c r="AR48" s="205">
        <f>SUM(AT29:AT40)</f>
        <v>5.282666442341144E+16</v>
      </c>
      <c r="AS48" s="195" t="s">
        <v>440</v>
      </c>
      <c r="AT48" s="196"/>
      <c r="AU48" s="468"/>
      <c r="AV48" s="468"/>
      <c r="AX48" s="52" t="s">
        <v>362</v>
      </c>
      <c r="AY48" s="68" t="s">
        <v>354</v>
      </c>
      <c r="AZ48" s="263"/>
      <c r="BA48" s="263"/>
      <c r="BD48" s="205">
        <f>SUM(BF29:BF40)</f>
        <v>5.282666442341144E+16</v>
      </c>
      <c r="BE48" s="195" t="s">
        <v>440</v>
      </c>
      <c r="BF48" s="196"/>
      <c r="BG48" s="468"/>
      <c r="BH48" s="468"/>
      <c r="BJ48" s="52" t="s">
        <v>362</v>
      </c>
      <c r="BK48" s="68" t="s">
        <v>354</v>
      </c>
      <c r="BL48" s="263"/>
      <c r="BM48" s="263"/>
      <c r="BP48" s="205">
        <f>SUM(BR29:BR40)</f>
        <v>5.282666442341144E+16</v>
      </c>
      <c r="BQ48" s="195" t="s">
        <v>440</v>
      </c>
      <c r="BR48" s="196"/>
      <c r="BS48" s="468"/>
      <c r="BT48" s="468"/>
      <c r="BV48" s="52" t="s">
        <v>362</v>
      </c>
      <c r="BW48" s="68" t="s">
        <v>354</v>
      </c>
      <c r="BX48" s="263"/>
      <c r="BY48" s="263"/>
      <c r="CB48" s="205">
        <f>SUM(CD29:CD40)</f>
        <v>5.282666442341144E+16</v>
      </c>
      <c r="CC48" s="195" t="s">
        <v>440</v>
      </c>
      <c r="CD48" s="196"/>
      <c r="CE48" s="468"/>
      <c r="CF48" s="468"/>
      <c r="CH48" s="52" t="s">
        <v>362</v>
      </c>
      <c r="CI48" s="68" t="s">
        <v>354</v>
      </c>
      <c r="CJ48" s="263"/>
      <c r="CK48" s="263"/>
      <c r="CN48" s="205">
        <f>SUM(CP29:CP40)</f>
        <v>5.282666442341144E+16</v>
      </c>
      <c r="CO48" s="195" t="s">
        <v>440</v>
      </c>
      <c r="CP48" s="196"/>
      <c r="CQ48" s="468"/>
      <c r="CR48" s="468"/>
      <c r="CT48" s="52" t="s">
        <v>362</v>
      </c>
      <c r="CU48" s="68" t="s">
        <v>354</v>
      </c>
      <c r="CV48" s="195" t="s">
        <v>440</v>
      </c>
      <c r="CX48" s="518">
        <f t="shared" si="33"/>
        <v>3.2195470149723352E+16</v>
      </c>
      <c r="CY48" s="519">
        <f t="shared" si="34"/>
        <v>4.2511067286567392E+16</v>
      </c>
      <c r="CZ48" s="519">
        <f t="shared" si="35"/>
        <v>5.282666442341144E+16</v>
      </c>
      <c r="DA48" s="519">
        <f t="shared" si="36"/>
        <v>5.282666442341144E+16</v>
      </c>
      <c r="DB48" s="519">
        <f t="shared" si="37"/>
        <v>5.282666442341144E+16</v>
      </c>
      <c r="DC48" s="519">
        <f t="shared" si="38"/>
        <v>5.282666442341144E+16</v>
      </c>
      <c r="DD48" s="519">
        <f t="shared" si="39"/>
        <v>5.282666442341144E+16</v>
      </c>
      <c r="DE48" s="519">
        <f t="shared" si="40"/>
        <v>5.282666442341144E+16</v>
      </c>
    </row>
    <row r="49" spans="2:111" s="68" customFormat="1" ht="15" customHeight="1" x14ac:dyDescent="0.25">
      <c r="B49" s="52" t="s">
        <v>363</v>
      </c>
      <c r="C49" s="68" t="s">
        <v>355</v>
      </c>
      <c r="D49" s="263"/>
      <c r="E49" s="263"/>
      <c r="H49" s="205">
        <f>SUM(I29:I40)</f>
        <v>6462721874098498</v>
      </c>
      <c r="I49" s="195" t="s">
        <v>440</v>
      </c>
      <c r="J49" s="196"/>
      <c r="K49" s="236"/>
      <c r="L49" s="236"/>
      <c r="N49" s="52" t="s">
        <v>363</v>
      </c>
      <c r="O49" s="68" t="s">
        <v>355</v>
      </c>
      <c r="P49" s="263"/>
      <c r="Q49" s="263"/>
      <c r="T49" s="205">
        <f>SUM(U29:U40)</f>
        <v>8517447295446812</v>
      </c>
      <c r="U49" s="195" t="s">
        <v>440</v>
      </c>
      <c r="V49" s="196"/>
      <c r="W49" s="236"/>
      <c r="X49" s="236"/>
      <c r="Z49" s="52" t="s">
        <v>363</v>
      </c>
      <c r="AA49" s="68" t="s">
        <v>355</v>
      </c>
      <c r="AB49" s="263"/>
      <c r="AC49" s="263"/>
      <c r="AF49" s="205">
        <f>SUM(AG29:AG40)</f>
        <v>7490084584772654</v>
      </c>
      <c r="AG49" s="195" t="s">
        <v>440</v>
      </c>
      <c r="AH49" s="196"/>
      <c r="AI49" s="468"/>
      <c r="AJ49" s="468"/>
      <c r="AL49" s="52" t="s">
        <v>363</v>
      </c>
      <c r="AM49" s="68" t="s">
        <v>355</v>
      </c>
      <c r="AN49" s="263"/>
      <c r="AO49" s="263"/>
      <c r="AR49" s="205">
        <f>SUM(AS29:AS40)</f>
        <v>8517447295446812</v>
      </c>
      <c r="AS49" s="195" t="s">
        <v>440</v>
      </c>
      <c r="AT49" s="196"/>
      <c r="AU49" s="468"/>
      <c r="AV49" s="468"/>
      <c r="AX49" s="52" t="s">
        <v>363</v>
      </c>
      <c r="AY49" s="68" t="s">
        <v>355</v>
      </c>
      <c r="AZ49" s="263"/>
      <c r="BA49" s="263"/>
      <c r="BD49" s="205">
        <f>SUM(BE29:BE40)</f>
        <v>8517447295446812</v>
      </c>
      <c r="BE49" s="195" t="s">
        <v>440</v>
      </c>
      <c r="BF49" s="196"/>
      <c r="BG49" s="468"/>
      <c r="BH49" s="468"/>
      <c r="BJ49" s="52" t="s">
        <v>363</v>
      </c>
      <c r="BK49" s="68" t="s">
        <v>355</v>
      </c>
      <c r="BL49" s="263"/>
      <c r="BM49" s="263"/>
      <c r="BP49" s="205">
        <f>SUM(BQ29:BQ40)</f>
        <v>8517447295446812</v>
      </c>
      <c r="BQ49" s="195" t="s">
        <v>440</v>
      </c>
      <c r="BR49" s="196"/>
      <c r="BS49" s="468"/>
      <c r="BT49" s="468"/>
      <c r="BV49" s="52" t="s">
        <v>363</v>
      </c>
      <c r="BW49" s="68" t="s">
        <v>355</v>
      </c>
      <c r="BX49" s="263"/>
      <c r="BY49" s="263"/>
      <c r="CB49" s="205">
        <f>SUM(CC29:CC40)</f>
        <v>8517447295446812</v>
      </c>
      <c r="CC49" s="195" t="s">
        <v>440</v>
      </c>
      <c r="CD49" s="196"/>
      <c r="CE49" s="468"/>
      <c r="CF49" s="468"/>
      <c r="CH49" s="52" t="s">
        <v>363</v>
      </c>
      <c r="CI49" s="68" t="s">
        <v>355</v>
      </c>
      <c r="CJ49" s="263"/>
      <c r="CK49" s="263"/>
      <c r="CN49" s="205">
        <f>SUM(CO29:CO40)</f>
        <v>8517447295446812</v>
      </c>
      <c r="CO49" s="195" t="s">
        <v>440</v>
      </c>
      <c r="CP49" s="196"/>
      <c r="CQ49" s="468"/>
      <c r="CR49" s="468"/>
      <c r="CT49" s="52" t="s">
        <v>363</v>
      </c>
      <c r="CU49" s="68" t="s">
        <v>355</v>
      </c>
      <c r="CV49" s="195" t="s">
        <v>440</v>
      </c>
      <c r="CX49" s="518">
        <f t="shared" si="33"/>
        <v>6462721874098498</v>
      </c>
      <c r="CY49" s="519">
        <f t="shared" si="34"/>
        <v>7490084584772654</v>
      </c>
      <c r="CZ49" s="519">
        <f t="shared" si="35"/>
        <v>8517447295446812</v>
      </c>
      <c r="DA49" s="519">
        <f t="shared" si="36"/>
        <v>8517447295446812</v>
      </c>
      <c r="DB49" s="519">
        <f t="shared" si="37"/>
        <v>8517447295446812</v>
      </c>
      <c r="DC49" s="519">
        <f t="shared" si="38"/>
        <v>8517447295446812</v>
      </c>
      <c r="DD49" s="519">
        <f t="shared" si="39"/>
        <v>8517447295446812</v>
      </c>
      <c r="DE49" s="519">
        <f t="shared" si="40"/>
        <v>8517447295446812</v>
      </c>
    </row>
    <row r="50" spans="2:111" s="68" customFormat="1" ht="15" customHeight="1" x14ac:dyDescent="0.25">
      <c r="B50" s="52" t="s">
        <v>364</v>
      </c>
      <c r="C50" s="68" t="s">
        <v>356</v>
      </c>
      <c r="D50" s="263"/>
      <c r="E50" s="263"/>
      <c r="H50" s="205">
        <f>SUM(J39:J40)</f>
        <v>1.1317836446629212E+16</v>
      </c>
      <c r="I50" s="195" t="s">
        <v>440</v>
      </c>
      <c r="J50" s="196"/>
      <c r="K50" s="236"/>
      <c r="L50" s="236"/>
      <c r="N50" s="52" t="s">
        <v>364</v>
      </c>
      <c r="O50" s="68" t="s">
        <v>356</v>
      </c>
      <c r="P50" s="263"/>
      <c r="Q50" s="263"/>
      <c r="T50" s="205">
        <f>SUM(V39:V40)</f>
        <v>1.6112195763108612E+16</v>
      </c>
      <c r="U50" s="195" t="s">
        <v>440</v>
      </c>
      <c r="V50" s="196"/>
      <c r="W50" s="236"/>
      <c r="X50" s="236"/>
      <c r="Z50" s="52" t="s">
        <v>364</v>
      </c>
      <c r="AA50" s="68" t="s">
        <v>356</v>
      </c>
      <c r="AB50" s="263"/>
      <c r="AC50" s="263"/>
      <c r="AF50" s="205">
        <f>SUM(AH39:AH40)</f>
        <v>1.3715016104868912E+16</v>
      </c>
      <c r="AG50" s="195" t="s">
        <v>440</v>
      </c>
      <c r="AH50" s="196"/>
      <c r="AI50" s="468"/>
      <c r="AJ50" s="468"/>
      <c r="AL50" s="52" t="s">
        <v>364</v>
      </c>
      <c r="AM50" s="68" t="s">
        <v>356</v>
      </c>
      <c r="AN50" s="263"/>
      <c r="AO50" s="263"/>
      <c r="AR50" s="205">
        <f>SUM(AT39:AT40)</f>
        <v>1.6112195763108612E+16</v>
      </c>
      <c r="AS50" s="195" t="s">
        <v>440</v>
      </c>
      <c r="AT50" s="196"/>
      <c r="AU50" s="468"/>
      <c r="AV50" s="468"/>
      <c r="AX50" s="52" t="s">
        <v>364</v>
      </c>
      <c r="AY50" s="68" t="s">
        <v>356</v>
      </c>
      <c r="AZ50" s="263"/>
      <c r="BA50" s="263"/>
      <c r="BD50" s="205">
        <f>SUM(BF39:BF40)</f>
        <v>1.6112195763108612E+16</v>
      </c>
      <c r="BE50" s="195" t="s">
        <v>440</v>
      </c>
      <c r="BF50" s="196"/>
      <c r="BG50" s="468"/>
      <c r="BH50" s="468"/>
      <c r="BJ50" s="52" t="s">
        <v>364</v>
      </c>
      <c r="BK50" s="68" t="s">
        <v>356</v>
      </c>
      <c r="BL50" s="263"/>
      <c r="BM50" s="263"/>
      <c r="BP50" s="205">
        <f>SUM(BR39:BR40)</f>
        <v>1.6112195763108612E+16</v>
      </c>
      <c r="BQ50" s="195" t="s">
        <v>440</v>
      </c>
      <c r="BR50" s="196"/>
      <c r="BS50" s="468"/>
      <c r="BT50" s="468"/>
      <c r="BV50" s="52" t="s">
        <v>364</v>
      </c>
      <c r="BW50" s="68" t="s">
        <v>356</v>
      </c>
      <c r="BX50" s="263"/>
      <c r="BY50" s="263"/>
      <c r="CB50" s="205">
        <f>SUM(CD39:CD40)</f>
        <v>1.6112195763108612E+16</v>
      </c>
      <c r="CC50" s="195" t="s">
        <v>440</v>
      </c>
      <c r="CD50" s="196"/>
      <c r="CE50" s="468"/>
      <c r="CF50" s="468"/>
      <c r="CH50" s="52" t="s">
        <v>364</v>
      </c>
      <c r="CI50" s="68" t="s">
        <v>356</v>
      </c>
      <c r="CJ50" s="263"/>
      <c r="CK50" s="263"/>
      <c r="CN50" s="205">
        <f>SUM(CP39:CP40)</f>
        <v>1.6112195763108612E+16</v>
      </c>
      <c r="CO50" s="195" t="s">
        <v>440</v>
      </c>
      <c r="CP50" s="196"/>
      <c r="CQ50" s="468"/>
      <c r="CR50" s="468"/>
      <c r="CT50" s="52" t="s">
        <v>364</v>
      </c>
      <c r="CU50" s="68" t="s">
        <v>356</v>
      </c>
      <c r="CV50" s="195" t="s">
        <v>440</v>
      </c>
      <c r="CX50" s="518">
        <f t="shared" si="33"/>
        <v>1.1317836446629212E+16</v>
      </c>
      <c r="CY50" s="519">
        <f t="shared" si="34"/>
        <v>1.3715016104868912E+16</v>
      </c>
      <c r="CZ50" s="519">
        <f t="shared" si="35"/>
        <v>1.6112195763108612E+16</v>
      </c>
      <c r="DA50" s="519">
        <f t="shared" si="36"/>
        <v>1.6112195763108612E+16</v>
      </c>
      <c r="DB50" s="519">
        <f t="shared" si="37"/>
        <v>1.6112195763108612E+16</v>
      </c>
      <c r="DC50" s="519">
        <f t="shared" si="38"/>
        <v>1.6112195763108612E+16</v>
      </c>
      <c r="DD50" s="519">
        <f t="shared" si="39"/>
        <v>1.6112195763108612E+16</v>
      </c>
      <c r="DE50" s="519">
        <f t="shared" si="40"/>
        <v>1.6112195763108612E+16</v>
      </c>
    </row>
    <row r="51" spans="2:111" s="68" customFormat="1" ht="15" customHeight="1" x14ac:dyDescent="0.25">
      <c r="B51" s="52" t="s">
        <v>365</v>
      </c>
      <c r="C51" s="68" t="s">
        <v>357</v>
      </c>
      <c r="D51" s="263"/>
      <c r="E51" s="263"/>
      <c r="H51" s="205">
        <f>SUM(I39:I40)</f>
        <v>4850501334269663</v>
      </c>
      <c r="I51" s="195" t="s">
        <v>440</v>
      </c>
      <c r="J51" s="196"/>
      <c r="K51" s="236"/>
      <c r="L51" s="236"/>
      <c r="N51" s="52" t="s">
        <v>365</v>
      </c>
      <c r="O51" s="68" t="s">
        <v>357</v>
      </c>
      <c r="P51" s="263"/>
      <c r="Q51" s="263"/>
      <c r="T51" s="205">
        <f>SUM(U39:U40)</f>
        <v>6905226755617978</v>
      </c>
      <c r="U51" s="195" t="s">
        <v>440</v>
      </c>
      <c r="V51" s="196"/>
      <c r="W51" s="236"/>
      <c r="X51" s="236"/>
      <c r="Z51" s="52" t="s">
        <v>365</v>
      </c>
      <c r="AA51" s="68" t="s">
        <v>357</v>
      </c>
      <c r="AB51" s="263"/>
      <c r="AC51" s="263"/>
      <c r="AF51" s="205">
        <f>SUM(AG39:AG40)</f>
        <v>5877864044943819</v>
      </c>
      <c r="AG51" s="195" t="s">
        <v>440</v>
      </c>
      <c r="AH51" s="196"/>
      <c r="AI51" s="468"/>
      <c r="AJ51" s="468"/>
      <c r="AL51" s="52" t="s">
        <v>365</v>
      </c>
      <c r="AM51" s="68" t="s">
        <v>357</v>
      </c>
      <c r="AN51" s="263"/>
      <c r="AO51" s="263"/>
      <c r="AR51" s="205">
        <f>SUM(AS39:AS40)</f>
        <v>6905226755617978</v>
      </c>
      <c r="AS51" s="195" t="s">
        <v>440</v>
      </c>
      <c r="AT51" s="196"/>
      <c r="AU51" s="468"/>
      <c r="AV51" s="468"/>
      <c r="AX51" s="52" t="s">
        <v>365</v>
      </c>
      <c r="AY51" s="68" t="s">
        <v>357</v>
      </c>
      <c r="AZ51" s="263"/>
      <c r="BA51" s="263"/>
      <c r="BD51" s="205">
        <f>SUM(BE39:BE40)</f>
        <v>6905226755617978</v>
      </c>
      <c r="BE51" s="195" t="s">
        <v>440</v>
      </c>
      <c r="BF51" s="196"/>
      <c r="BG51" s="468"/>
      <c r="BH51" s="468"/>
      <c r="BJ51" s="52" t="s">
        <v>365</v>
      </c>
      <c r="BK51" s="68" t="s">
        <v>357</v>
      </c>
      <c r="BL51" s="263"/>
      <c r="BM51" s="263"/>
      <c r="BP51" s="205">
        <f>SUM(BQ39:BQ40)</f>
        <v>6905226755617978</v>
      </c>
      <c r="BQ51" s="195" t="s">
        <v>440</v>
      </c>
      <c r="BR51" s="196"/>
      <c r="BS51" s="468"/>
      <c r="BT51" s="468"/>
      <c r="BV51" s="52" t="s">
        <v>365</v>
      </c>
      <c r="BW51" s="68" t="s">
        <v>357</v>
      </c>
      <c r="BX51" s="263"/>
      <c r="BY51" s="263"/>
      <c r="CB51" s="205">
        <f>SUM(CC39:CC40)</f>
        <v>6905226755617978</v>
      </c>
      <c r="CC51" s="195" t="s">
        <v>440</v>
      </c>
      <c r="CD51" s="196"/>
      <c r="CE51" s="468"/>
      <c r="CF51" s="468"/>
      <c r="CH51" s="52" t="s">
        <v>365</v>
      </c>
      <c r="CI51" s="68" t="s">
        <v>357</v>
      </c>
      <c r="CJ51" s="263"/>
      <c r="CK51" s="263"/>
      <c r="CN51" s="205">
        <f>SUM(CO39:CO40)</f>
        <v>6905226755617978</v>
      </c>
      <c r="CO51" s="195" t="s">
        <v>440</v>
      </c>
      <c r="CP51" s="196"/>
      <c r="CQ51" s="468"/>
      <c r="CR51" s="468"/>
      <c r="CT51" s="52" t="s">
        <v>365</v>
      </c>
      <c r="CU51" s="68" t="s">
        <v>357</v>
      </c>
      <c r="CV51" s="195" t="s">
        <v>440</v>
      </c>
      <c r="CX51" s="518">
        <f t="shared" si="33"/>
        <v>4850501334269663</v>
      </c>
      <c r="CY51" s="519">
        <f t="shared" si="34"/>
        <v>5877864044943819</v>
      </c>
      <c r="CZ51" s="519">
        <f t="shared" si="35"/>
        <v>6905226755617978</v>
      </c>
      <c r="DA51" s="519">
        <f t="shared" si="36"/>
        <v>6905226755617978</v>
      </c>
      <c r="DB51" s="519">
        <f t="shared" si="37"/>
        <v>6905226755617978</v>
      </c>
      <c r="DC51" s="519">
        <f t="shared" si="38"/>
        <v>6905226755617978</v>
      </c>
      <c r="DD51" s="519">
        <f t="shared" si="39"/>
        <v>6905226755617978</v>
      </c>
      <c r="DE51" s="519">
        <f t="shared" si="40"/>
        <v>6905226755617978</v>
      </c>
    </row>
    <row r="52" spans="2:111" s="68" customFormat="1" ht="15" customHeight="1" x14ac:dyDescent="0.25">
      <c r="B52" s="52" t="s">
        <v>366</v>
      </c>
      <c r="C52" s="68" t="s">
        <v>358</v>
      </c>
      <c r="D52" s="263"/>
      <c r="E52" s="263"/>
      <c r="H52" s="205">
        <f>SUM(J29:J37)</f>
        <v>2.087763370309414E+16</v>
      </c>
      <c r="I52" s="195" t="s">
        <v>440</v>
      </c>
      <c r="J52" s="196"/>
      <c r="K52" s="236"/>
      <c r="L52" s="236"/>
      <c r="N52" s="52" t="s">
        <v>366</v>
      </c>
      <c r="O52" s="68" t="s">
        <v>358</v>
      </c>
      <c r="P52" s="263"/>
      <c r="Q52" s="263"/>
      <c r="T52" s="205">
        <f>SUM(V29:V37)</f>
        <v>3.6714468660302824E+16</v>
      </c>
      <c r="U52" s="195" t="s">
        <v>440</v>
      </c>
      <c r="V52" s="196"/>
      <c r="W52" s="236"/>
      <c r="X52" s="236"/>
      <c r="Z52" s="52" t="s">
        <v>366</v>
      </c>
      <c r="AA52" s="68" t="s">
        <v>358</v>
      </c>
      <c r="AB52" s="263"/>
      <c r="AC52" s="263"/>
      <c r="AF52" s="205">
        <f>SUM(AH29:AH37)</f>
        <v>2.8796051181698484E+16</v>
      </c>
      <c r="AG52" s="195" t="s">
        <v>440</v>
      </c>
      <c r="AH52" s="196"/>
      <c r="AI52" s="468"/>
      <c r="AJ52" s="468"/>
      <c r="AL52" s="52" t="s">
        <v>366</v>
      </c>
      <c r="AM52" s="68" t="s">
        <v>358</v>
      </c>
      <c r="AN52" s="263"/>
      <c r="AO52" s="263"/>
      <c r="AR52" s="205">
        <f>SUM(AT29:AT37)</f>
        <v>3.6714468660302824E+16</v>
      </c>
      <c r="AS52" s="195" t="s">
        <v>440</v>
      </c>
      <c r="AT52" s="196"/>
      <c r="AU52" s="468"/>
      <c r="AV52" s="468"/>
      <c r="AX52" s="52" t="s">
        <v>366</v>
      </c>
      <c r="AY52" s="68" t="s">
        <v>358</v>
      </c>
      <c r="AZ52" s="263"/>
      <c r="BA52" s="263"/>
      <c r="BD52" s="205">
        <f>SUM(BF29:BF37)</f>
        <v>3.6714468660302824E+16</v>
      </c>
      <c r="BE52" s="195" t="s">
        <v>440</v>
      </c>
      <c r="BF52" s="196"/>
      <c r="BG52" s="468"/>
      <c r="BH52" s="468"/>
      <c r="BJ52" s="52" t="s">
        <v>366</v>
      </c>
      <c r="BK52" s="68" t="s">
        <v>358</v>
      </c>
      <c r="BL52" s="263"/>
      <c r="BM52" s="263"/>
      <c r="BP52" s="205">
        <f>SUM(BR29:BR37)</f>
        <v>3.6714468660302824E+16</v>
      </c>
      <c r="BQ52" s="195" t="s">
        <v>440</v>
      </c>
      <c r="BR52" s="196"/>
      <c r="BS52" s="468"/>
      <c r="BT52" s="468"/>
      <c r="BV52" s="52" t="s">
        <v>366</v>
      </c>
      <c r="BW52" s="68" t="s">
        <v>358</v>
      </c>
      <c r="BX52" s="263"/>
      <c r="BY52" s="263"/>
      <c r="CB52" s="205">
        <f>SUM(CD29:CD37)</f>
        <v>3.6714468660302824E+16</v>
      </c>
      <c r="CC52" s="195" t="s">
        <v>440</v>
      </c>
      <c r="CD52" s="196"/>
      <c r="CE52" s="468"/>
      <c r="CF52" s="468"/>
      <c r="CH52" s="52" t="s">
        <v>366</v>
      </c>
      <c r="CI52" s="68" t="s">
        <v>358</v>
      </c>
      <c r="CJ52" s="263"/>
      <c r="CK52" s="263"/>
      <c r="CN52" s="205">
        <f>SUM(CP29:CP37)</f>
        <v>3.6714468660302824E+16</v>
      </c>
      <c r="CO52" s="195" t="s">
        <v>440</v>
      </c>
      <c r="CP52" s="196"/>
      <c r="CQ52" s="468"/>
      <c r="CR52" s="468"/>
      <c r="CT52" s="52" t="s">
        <v>366</v>
      </c>
      <c r="CU52" s="68" t="s">
        <v>358</v>
      </c>
      <c r="CV52" s="195" t="s">
        <v>440</v>
      </c>
      <c r="CX52" s="518">
        <f t="shared" si="33"/>
        <v>2.087763370309414E+16</v>
      </c>
      <c r="CY52" s="519">
        <f t="shared" si="34"/>
        <v>2.8796051181698484E+16</v>
      </c>
      <c r="CZ52" s="519">
        <f t="shared" si="35"/>
        <v>3.6714468660302824E+16</v>
      </c>
      <c r="DA52" s="519">
        <f t="shared" si="36"/>
        <v>3.6714468660302824E+16</v>
      </c>
      <c r="DB52" s="519">
        <f t="shared" si="37"/>
        <v>3.6714468660302824E+16</v>
      </c>
      <c r="DC52" s="519">
        <f t="shared" si="38"/>
        <v>3.6714468660302824E+16</v>
      </c>
      <c r="DD52" s="519">
        <f t="shared" si="39"/>
        <v>3.6714468660302824E+16</v>
      </c>
      <c r="DE52" s="519">
        <f t="shared" si="40"/>
        <v>3.6714468660302824E+16</v>
      </c>
    </row>
    <row r="53" spans="2:111" s="68" customFormat="1" ht="15" customHeight="1" x14ac:dyDescent="0.25">
      <c r="B53" s="50" t="s">
        <v>367</v>
      </c>
      <c r="C53" s="332" t="s">
        <v>359</v>
      </c>
      <c r="D53" s="333"/>
      <c r="E53" s="333"/>
      <c r="F53" s="332"/>
      <c r="G53" s="332"/>
      <c r="H53" s="335">
        <f>SUM(I29:I37)</f>
        <v>1612220539828834.7</v>
      </c>
      <c r="I53" s="334" t="s">
        <v>440</v>
      </c>
      <c r="J53" s="196"/>
      <c r="K53" s="428"/>
      <c r="L53" s="428"/>
      <c r="N53" s="50" t="s">
        <v>367</v>
      </c>
      <c r="O53" s="332" t="s">
        <v>359</v>
      </c>
      <c r="P53" s="333"/>
      <c r="Q53" s="333"/>
      <c r="R53" s="332"/>
      <c r="S53" s="332"/>
      <c r="T53" s="335">
        <f>SUM(U29:U37)</f>
        <v>1612220539828834.7</v>
      </c>
      <c r="U53" s="334" t="s">
        <v>440</v>
      </c>
      <c r="V53" s="196"/>
      <c r="W53" s="428"/>
      <c r="X53" s="428"/>
      <c r="Z53" s="50" t="s">
        <v>367</v>
      </c>
      <c r="AA53" s="332" t="s">
        <v>359</v>
      </c>
      <c r="AB53" s="333"/>
      <c r="AC53" s="333"/>
      <c r="AD53" s="332"/>
      <c r="AE53" s="332"/>
      <c r="AF53" s="335">
        <f>SUM(AG29:AG37)</f>
        <v>1612220539828834.7</v>
      </c>
      <c r="AG53" s="334" t="s">
        <v>440</v>
      </c>
      <c r="AH53" s="196"/>
      <c r="AI53" s="468"/>
      <c r="AJ53" s="468"/>
      <c r="AL53" s="50" t="s">
        <v>367</v>
      </c>
      <c r="AM53" s="332" t="s">
        <v>359</v>
      </c>
      <c r="AN53" s="333"/>
      <c r="AO53" s="333"/>
      <c r="AP53" s="332"/>
      <c r="AQ53" s="332"/>
      <c r="AR53" s="335">
        <f>SUM(AS29:AS37)</f>
        <v>1612220539828834.7</v>
      </c>
      <c r="AS53" s="334" t="s">
        <v>440</v>
      </c>
      <c r="AT53" s="196"/>
      <c r="AU53" s="468"/>
      <c r="AV53" s="468"/>
      <c r="AX53" s="50" t="s">
        <v>367</v>
      </c>
      <c r="AY53" s="332" t="s">
        <v>359</v>
      </c>
      <c r="AZ53" s="333"/>
      <c r="BA53" s="333"/>
      <c r="BB53" s="332"/>
      <c r="BC53" s="332"/>
      <c r="BD53" s="335">
        <f>SUM(BE29:BE37)</f>
        <v>1612220539828834.7</v>
      </c>
      <c r="BE53" s="334" t="s">
        <v>440</v>
      </c>
      <c r="BF53" s="196"/>
      <c r="BG53" s="468"/>
      <c r="BH53" s="468"/>
      <c r="BJ53" s="50" t="s">
        <v>367</v>
      </c>
      <c r="BK53" s="332" t="s">
        <v>359</v>
      </c>
      <c r="BL53" s="333"/>
      <c r="BM53" s="333"/>
      <c r="BN53" s="332"/>
      <c r="BO53" s="332"/>
      <c r="BP53" s="335">
        <f>SUM(BQ29:BQ37)</f>
        <v>1612220539828834.7</v>
      </c>
      <c r="BQ53" s="334" t="s">
        <v>440</v>
      </c>
      <c r="BR53" s="196"/>
      <c r="BS53" s="468"/>
      <c r="BT53" s="468"/>
      <c r="BV53" s="50" t="s">
        <v>367</v>
      </c>
      <c r="BW53" s="332" t="s">
        <v>359</v>
      </c>
      <c r="BX53" s="333"/>
      <c r="BY53" s="333"/>
      <c r="BZ53" s="332"/>
      <c r="CA53" s="332"/>
      <c r="CB53" s="335">
        <f>SUM(CC29:CC37)</f>
        <v>1612220539828834.7</v>
      </c>
      <c r="CC53" s="334" t="s">
        <v>440</v>
      </c>
      <c r="CD53" s="196"/>
      <c r="CE53" s="468"/>
      <c r="CF53" s="468"/>
      <c r="CH53" s="50" t="s">
        <v>367</v>
      </c>
      <c r="CI53" s="332" t="s">
        <v>359</v>
      </c>
      <c r="CJ53" s="333"/>
      <c r="CK53" s="333"/>
      <c r="CL53" s="332"/>
      <c r="CM53" s="332"/>
      <c r="CN53" s="335">
        <f>SUM(CO29:CO37)</f>
        <v>1612220539828834.7</v>
      </c>
      <c r="CO53" s="334" t="s">
        <v>440</v>
      </c>
      <c r="CP53" s="196"/>
      <c r="CQ53" s="468"/>
      <c r="CR53" s="468"/>
      <c r="CT53" s="50" t="s">
        <v>367</v>
      </c>
      <c r="CU53" s="332" t="s">
        <v>359</v>
      </c>
      <c r="CV53" s="334" t="s">
        <v>440</v>
      </c>
      <c r="CW53" s="332"/>
      <c r="CX53" s="523">
        <f t="shared" si="33"/>
        <v>1612220539828834.7</v>
      </c>
      <c r="CY53" s="524">
        <f t="shared" si="34"/>
        <v>1612220539828834.7</v>
      </c>
      <c r="CZ53" s="524">
        <f t="shared" si="35"/>
        <v>1612220539828834.7</v>
      </c>
      <c r="DA53" s="524">
        <f t="shared" si="36"/>
        <v>1612220539828834.7</v>
      </c>
      <c r="DB53" s="524">
        <f t="shared" si="37"/>
        <v>1612220539828834.7</v>
      </c>
      <c r="DC53" s="524">
        <f t="shared" si="38"/>
        <v>1612220539828834.7</v>
      </c>
      <c r="DD53" s="524">
        <f t="shared" si="39"/>
        <v>1612220539828834.7</v>
      </c>
      <c r="DE53" s="524">
        <f t="shared" si="40"/>
        <v>1612220539828834.7</v>
      </c>
    </row>
    <row r="54" spans="2:111" s="68" customFormat="1" ht="15" customHeight="1" x14ac:dyDescent="0.25">
      <c r="D54" s="263"/>
      <c r="E54" s="263"/>
      <c r="F54" s="528"/>
      <c r="H54" s="530"/>
      <c r="I54" s="236"/>
      <c r="J54" s="196"/>
      <c r="K54" s="236"/>
      <c r="L54" s="236"/>
      <c r="P54" s="263"/>
      <c r="Q54" s="263"/>
      <c r="R54" s="528"/>
      <c r="T54" s="530"/>
      <c r="U54" s="236"/>
      <c r="V54" s="196"/>
      <c r="W54" s="428"/>
      <c r="X54" s="428"/>
      <c r="AB54" s="263"/>
      <c r="AC54" s="263"/>
      <c r="AD54" s="528"/>
      <c r="AF54" s="530"/>
      <c r="AG54" s="468"/>
      <c r="AH54" s="196"/>
      <c r="AI54" s="468"/>
      <c r="AJ54" s="468"/>
      <c r="AN54" s="263"/>
      <c r="AO54" s="263"/>
      <c r="AR54" s="468"/>
      <c r="AS54" s="468"/>
      <c r="AT54" s="196"/>
      <c r="AU54" s="468"/>
      <c r="AV54" s="468"/>
      <c r="AZ54" s="263"/>
      <c r="BA54" s="263"/>
      <c r="BD54" s="468"/>
      <c r="BE54" s="468"/>
      <c r="BF54" s="196"/>
      <c r="BG54" s="468"/>
      <c r="BH54" s="468"/>
      <c r="BL54" s="263"/>
      <c r="BM54" s="263"/>
      <c r="BP54" s="468"/>
      <c r="BQ54" s="468"/>
      <c r="BR54" s="196"/>
      <c r="BS54" s="468"/>
      <c r="BT54" s="468"/>
      <c r="BX54" s="263"/>
      <c r="BY54" s="263"/>
      <c r="CB54" s="468"/>
      <c r="CC54" s="468"/>
      <c r="CD54" s="196"/>
      <c r="CE54" s="468"/>
      <c r="CF54" s="468"/>
      <c r="CJ54" s="263"/>
      <c r="CK54" s="263"/>
      <c r="CN54" s="468"/>
      <c r="CO54" s="468"/>
      <c r="CP54" s="196"/>
      <c r="CQ54" s="468"/>
      <c r="CR54" s="468"/>
      <c r="CY54" s="518"/>
      <c r="CZ54" s="517"/>
      <c r="DA54" s="517"/>
      <c r="DB54" s="517"/>
      <c r="DC54" s="517"/>
      <c r="DD54" s="517"/>
      <c r="DE54" s="517"/>
      <c r="DF54" s="517"/>
    </row>
    <row r="55" spans="2:111" s="68" customFormat="1" ht="15" customHeight="1" x14ac:dyDescent="0.25">
      <c r="B55" s="332"/>
      <c r="C55" s="50" t="s">
        <v>378</v>
      </c>
      <c r="D55" s="333"/>
      <c r="E55" s="333"/>
      <c r="F55" s="529"/>
      <c r="G55" s="332"/>
      <c r="H55" s="429"/>
      <c r="I55" s="429"/>
      <c r="J55" s="196"/>
      <c r="K55" s="428"/>
      <c r="L55" s="428"/>
      <c r="O55" s="52" t="s">
        <v>378</v>
      </c>
      <c r="P55" s="263"/>
      <c r="Q55" s="263"/>
      <c r="R55" s="529"/>
      <c r="S55" s="332"/>
      <c r="T55" s="491"/>
      <c r="U55" s="528"/>
      <c r="V55" s="196"/>
      <c r="W55" s="236"/>
      <c r="X55" s="236"/>
      <c r="AA55" s="52" t="s">
        <v>378</v>
      </c>
      <c r="AB55" s="263"/>
      <c r="AC55" s="263"/>
      <c r="AD55" s="529"/>
      <c r="AE55" s="529"/>
      <c r="AF55" s="491"/>
      <c r="AG55" s="530"/>
      <c r="AH55" s="196"/>
      <c r="AI55" s="468"/>
      <c r="AJ55" s="468"/>
      <c r="AM55" s="52" t="s">
        <v>378</v>
      </c>
      <c r="AN55" s="263"/>
      <c r="AO55" s="263"/>
      <c r="AR55" s="468"/>
      <c r="AS55" s="468"/>
      <c r="AT55" s="196"/>
      <c r="AU55" s="468"/>
      <c r="AV55" s="468"/>
      <c r="AY55" s="52" t="s">
        <v>378</v>
      </c>
      <c r="AZ55" s="263"/>
      <c r="BA55" s="263"/>
      <c r="BD55" s="468"/>
      <c r="BE55" s="468"/>
      <c r="BF55" s="196"/>
      <c r="BG55" s="468"/>
      <c r="BH55" s="468"/>
      <c r="BK55" s="52" t="s">
        <v>378</v>
      </c>
      <c r="BL55" s="263"/>
      <c r="BM55" s="263"/>
      <c r="BP55" s="468"/>
      <c r="BQ55" s="468"/>
      <c r="BR55" s="196"/>
      <c r="BS55" s="468"/>
      <c r="BT55" s="468"/>
      <c r="BW55" s="52" t="s">
        <v>378</v>
      </c>
      <c r="BX55" s="263"/>
      <c r="BY55" s="263"/>
      <c r="CB55" s="468"/>
      <c r="CC55" s="468"/>
      <c r="CD55" s="196"/>
      <c r="CE55" s="468"/>
      <c r="CF55" s="468"/>
      <c r="CI55" s="52" t="s">
        <v>378</v>
      </c>
      <c r="CJ55" s="263"/>
      <c r="CK55" s="263"/>
      <c r="CN55" s="468"/>
      <c r="CO55" s="468"/>
      <c r="CP55" s="196"/>
      <c r="CQ55" s="468"/>
      <c r="CR55" s="468"/>
      <c r="CT55" s="521"/>
      <c r="CU55" s="190" t="s">
        <v>378</v>
      </c>
      <c r="CV55" s="521"/>
      <c r="CW55" s="190" t="s">
        <v>448</v>
      </c>
      <c r="CX55" s="162" t="s">
        <v>443</v>
      </c>
      <c r="CY55" s="492" t="s">
        <v>70</v>
      </c>
      <c r="CZ55" s="492" t="s">
        <v>444</v>
      </c>
      <c r="DA55" s="492" t="s">
        <v>72</v>
      </c>
      <c r="DB55" s="492" t="s">
        <v>74</v>
      </c>
      <c r="DC55" s="492" t="s">
        <v>76</v>
      </c>
      <c r="DD55" s="492" t="s">
        <v>78</v>
      </c>
      <c r="DE55" s="492" t="s">
        <v>80</v>
      </c>
      <c r="DF55" s="517"/>
    </row>
    <row r="56" spans="2:111" s="68" customFormat="1" ht="15" customHeight="1" x14ac:dyDescent="0.25">
      <c r="B56" s="428">
        <v>1</v>
      </c>
      <c r="C56" s="68" t="s">
        <v>348</v>
      </c>
      <c r="D56" s="432" t="s">
        <v>394</v>
      </c>
      <c r="E56" s="263"/>
      <c r="H56" s="205">
        <f>SUM(I6:J40)</f>
        <v>4.6915375674476976E+16</v>
      </c>
      <c r="I56" s="201" t="s">
        <v>440</v>
      </c>
      <c r="J56" s="196"/>
      <c r="K56" s="377"/>
      <c r="L56" s="428"/>
      <c r="N56" s="427">
        <v>1</v>
      </c>
      <c r="O56" s="265" t="s">
        <v>348</v>
      </c>
      <c r="P56" s="431" t="s">
        <v>394</v>
      </c>
      <c r="Q56" s="331"/>
      <c r="R56" s="265"/>
      <c r="S56" s="265"/>
      <c r="T56" s="202">
        <f>SUM(U6:V40)</f>
        <v>7.8113975153240512E+16</v>
      </c>
      <c r="U56" s="201" t="s">
        <v>440</v>
      </c>
      <c r="V56" s="196"/>
      <c r="W56" s="428"/>
      <c r="X56" s="428"/>
      <c r="Z56" s="467">
        <v>1</v>
      </c>
      <c r="AA56" s="265" t="s">
        <v>348</v>
      </c>
      <c r="AB56" s="431" t="s">
        <v>394</v>
      </c>
      <c r="AC56" s="331"/>
      <c r="AD56" s="265"/>
      <c r="AE56" s="265"/>
      <c r="AF56" s="202">
        <f>SUM(AG6:AH40)</f>
        <v>6.1972413334963496E+16</v>
      </c>
      <c r="AG56" s="201" t="s">
        <v>440</v>
      </c>
      <c r="AH56" s="196"/>
      <c r="AI56" s="468"/>
      <c r="AJ56" s="468"/>
      <c r="AL56" s="467">
        <v>1</v>
      </c>
      <c r="AM56" s="265" t="s">
        <v>348</v>
      </c>
      <c r="AN56" s="431" t="s">
        <v>394</v>
      </c>
      <c r="AO56" s="331"/>
      <c r="AP56" s="265"/>
      <c r="AQ56" s="265"/>
      <c r="AR56" s="202">
        <f>SUM(AS6:AT40)</f>
        <v>8.6317735732488272E+16</v>
      </c>
      <c r="AS56" s="201" t="s">
        <v>440</v>
      </c>
      <c r="AT56" s="196"/>
      <c r="AU56" s="468"/>
      <c r="AV56" s="468"/>
      <c r="AX56" s="467">
        <v>1</v>
      </c>
      <c r="AY56" s="265" t="s">
        <v>348</v>
      </c>
      <c r="AZ56" s="431" t="s">
        <v>394</v>
      </c>
      <c r="BA56" s="331"/>
      <c r="BB56" s="265"/>
      <c r="BC56" s="265"/>
      <c r="BD56" s="202">
        <f>SUM(BE6:BF40)</f>
        <v>9.4612884185984512E+16</v>
      </c>
      <c r="BE56" s="201" t="s">
        <v>440</v>
      </c>
      <c r="BF56" s="196"/>
      <c r="BG56" s="468"/>
      <c r="BH56" s="468"/>
      <c r="BJ56" s="467">
        <v>1</v>
      </c>
      <c r="BK56" s="265" t="s">
        <v>348</v>
      </c>
      <c r="BL56" s="431" t="s">
        <v>394</v>
      </c>
      <c r="BM56" s="331"/>
      <c r="BN56" s="265"/>
      <c r="BO56" s="265"/>
      <c r="BP56" s="202">
        <f>SUM(BQ6:BR40)</f>
        <v>1.2397192750679637E+17</v>
      </c>
      <c r="BQ56" s="201" t="s">
        <v>440</v>
      </c>
      <c r="BR56" s="196"/>
      <c r="BS56" s="468"/>
      <c r="BT56" s="468"/>
      <c r="BV56" s="467">
        <v>1</v>
      </c>
      <c r="BW56" s="265" t="s">
        <v>348</v>
      </c>
      <c r="BX56" s="431" t="s">
        <v>394</v>
      </c>
      <c r="BY56" s="331"/>
      <c r="BZ56" s="265"/>
      <c r="CA56" s="265"/>
      <c r="CB56" s="202">
        <f>SUM(CC6:CD40)</f>
        <v>1.5744976925427091E+17</v>
      </c>
      <c r="CC56" s="201" t="s">
        <v>440</v>
      </c>
      <c r="CD56" s="196"/>
      <c r="CE56" s="468"/>
      <c r="CF56" s="468"/>
      <c r="CH56" s="467">
        <v>1</v>
      </c>
      <c r="CI56" s="265" t="s">
        <v>348</v>
      </c>
      <c r="CJ56" s="431" t="s">
        <v>394</v>
      </c>
      <c r="CK56" s="331"/>
      <c r="CL56" s="265"/>
      <c r="CM56" s="265"/>
      <c r="CN56" s="202">
        <f>SUM(CO6:CP40)</f>
        <v>1.8888468145366154E+17</v>
      </c>
      <c r="CO56" s="201" t="s">
        <v>440</v>
      </c>
      <c r="CP56" s="196"/>
      <c r="CQ56" s="468"/>
      <c r="CR56" s="468"/>
      <c r="CT56" s="490">
        <v>1</v>
      </c>
      <c r="CU56" s="68" t="s">
        <v>348</v>
      </c>
      <c r="CV56" s="336" t="s">
        <v>394</v>
      </c>
      <c r="CW56" s="195" t="s">
        <v>440</v>
      </c>
      <c r="CX56" s="518">
        <f>H56</f>
        <v>4.6915375674476976E+16</v>
      </c>
      <c r="CY56" s="519">
        <f t="shared" ref="CY56:CY62" si="41">AF56</f>
        <v>6.1972413334963496E+16</v>
      </c>
      <c r="CZ56" s="519">
        <f t="shared" ref="CZ56:CZ62" si="42">T56</f>
        <v>7.8113975153240512E+16</v>
      </c>
      <c r="DA56" s="519">
        <f t="shared" ref="DA56:DA62" si="43">AR56</f>
        <v>8.6317735732488272E+16</v>
      </c>
      <c r="DB56" s="519">
        <f t="shared" ref="DB56:DB62" si="44">BD56</f>
        <v>9.4612884185984512E+16</v>
      </c>
      <c r="DC56" s="519">
        <f t="shared" ref="DC56:DC62" si="45">BP56</f>
        <v>1.2397192750679637E+17</v>
      </c>
      <c r="DD56" s="519">
        <f t="shared" ref="DD56:DD62" si="46">CB56</f>
        <v>1.5744976925427091E+17</v>
      </c>
      <c r="DE56" s="519">
        <f t="shared" ref="DE56:DE62" si="47">CN56</f>
        <v>1.8888468145366154E+17</v>
      </c>
    </row>
    <row r="57" spans="2:111" s="68" customFormat="1" ht="15" customHeight="1" x14ac:dyDescent="0.25">
      <c r="B57" s="428">
        <v>2</v>
      </c>
      <c r="C57" s="68" t="s">
        <v>395</v>
      </c>
      <c r="D57" s="432" t="s">
        <v>396</v>
      </c>
      <c r="E57" s="263"/>
      <c r="H57" s="205">
        <f>H56/H43</f>
        <v>39114.436611835263</v>
      </c>
      <c r="I57" s="195" t="s">
        <v>440</v>
      </c>
      <c r="J57" s="434"/>
      <c r="K57" s="377"/>
      <c r="L57" s="428"/>
      <c r="N57" s="428">
        <v>2</v>
      </c>
      <c r="O57" s="68" t="s">
        <v>395</v>
      </c>
      <c r="P57" s="432" t="s">
        <v>396</v>
      </c>
      <c r="Q57" s="263"/>
      <c r="T57" s="205">
        <f>T56/T43</f>
        <v>32562.716227934827</v>
      </c>
      <c r="U57" s="195" t="s">
        <v>440</v>
      </c>
      <c r="V57" s="196"/>
      <c r="W57" s="428"/>
      <c r="X57" s="428"/>
      <c r="Z57" s="468">
        <v>2</v>
      </c>
      <c r="AA57" s="68" t="s">
        <v>395</v>
      </c>
      <c r="AB57" s="432" t="s">
        <v>396</v>
      </c>
      <c r="AC57" s="263"/>
      <c r="AF57" s="205">
        <f>AF56/AF43</f>
        <v>34445.225376174538</v>
      </c>
      <c r="AG57" s="195" t="s">
        <v>440</v>
      </c>
      <c r="AH57" s="196"/>
      <c r="AI57" s="468"/>
      <c r="AJ57" s="468"/>
      <c r="AL57" s="468">
        <v>2</v>
      </c>
      <c r="AM57" s="68" t="s">
        <v>395</v>
      </c>
      <c r="AN57" s="432" t="s">
        <v>396</v>
      </c>
      <c r="AO57" s="263"/>
      <c r="AR57" s="205">
        <f>AR56/AR43</f>
        <v>44046.723742649636</v>
      </c>
      <c r="AS57" s="195" t="s">
        <v>440</v>
      </c>
      <c r="AT57" s="196"/>
      <c r="AU57" s="468"/>
      <c r="AV57" s="468"/>
      <c r="AX57" s="468">
        <v>2</v>
      </c>
      <c r="AY57" s="68" t="s">
        <v>395</v>
      </c>
      <c r="AZ57" s="432" t="s">
        <v>396</v>
      </c>
      <c r="BA57" s="263"/>
      <c r="BD57" s="205">
        <f>BD56/BD43</f>
        <v>61786.35917976722</v>
      </c>
      <c r="BE57" s="195" t="s">
        <v>440</v>
      </c>
      <c r="BF57" s="196"/>
      <c r="BG57" s="468"/>
      <c r="BH57" s="468"/>
      <c r="BJ57" s="468">
        <v>2</v>
      </c>
      <c r="BK57" s="68" t="s">
        <v>395</v>
      </c>
      <c r="BL57" s="432" t="s">
        <v>396</v>
      </c>
      <c r="BM57" s="263"/>
      <c r="BP57" s="205">
        <f>BP56/BP43</f>
        <v>39537.647596965217</v>
      </c>
      <c r="BQ57" s="195" t="s">
        <v>440</v>
      </c>
      <c r="BR57" s="196"/>
      <c r="BS57" s="468"/>
      <c r="BT57" s="468"/>
      <c r="BV57" s="468">
        <v>2</v>
      </c>
      <c r="BW57" s="68" t="s">
        <v>395</v>
      </c>
      <c r="BX57" s="432" t="s">
        <v>396</v>
      </c>
      <c r="BY57" s="263"/>
      <c r="CB57" s="205">
        <f>CB56/CB43</f>
        <v>29263.074805796685</v>
      </c>
      <c r="CC57" s="195" t="s">
        <v>440</v>
      </c>
      <c r="CD57" s="196"/>
      <c r="CE57" s="468"/>
      <c r="CF57" s="468"/>
      <c r="CH57" s="468">
        <v>2</v>
      </c>
      <c r="CI57" s="68" t="s">
        <v>395</v>
      </c>
      <c r="CJ57" s="432" t="s">
        <v>396</v>
      </c>
      <c r="CK57" s="263"/>
      <c r="CN57" s="205">
        <f>CN56/CN43</f>
        <v>34624.120429388298</v>
      </c>
      <c r="CO57" s="195" t="s">
        <v>440</v>
      </c>
      <c r="CP57" s="196"/>
      <c r="CQ57" s="468"/>
      <c r="CR57" s="468"/>
      <c r="CT57" s="490">
        <v>2</v>
      </c>
      <c r="CU57" s="68" t="s">
        <v>395</v>
      </c>
      <c r="CV57" s="336" t="s">
        <v>396</v>
      </c>
      <c r="CW57" s="195" t="s">
        <v>440</v>
      </c>
      <c r="CX57" s="518">
        <f t="shared" ref="CX57:CX62" si="48">H57</f>
        <v>39114.436611835263</v>
      </c>
      <c r="CY57" s="519">
        <f t="shared" si="41"/>
        <v>34445.225376174538</v>
      </c>
      <c r="CZ57" s="519">
        <f t="shared" si="42"/>
        <v>32562.716227934827</v>
      </c>
      <c r="DA57" s="519">
        <f t="shared" si="43"/>
        <v>44046.723742649636</v>
      </c>
      <c r="DB57" s="519">
        <f t="shared" si="44"/>
        <v>61786.35917976722</v>
      </c>
      <c r="DC57" s="519">
        <f t="shared" si="45"/>
        <v>39537.647596965217</v>
      </c>
      <c r="DD57" s="519">
        <f t="shared" si="46"/>
        <v>29263.074805796685</v>
      </c>
      <c r="DE57" s="519">
        <f t="shared" si="47"/>
        <v>34624.120429388298</v>
      </c>
    </row>
    <row r="58" spans="2:111" ht="15" customHeight="1" x14ac:dyDescent="0.25">
      <c r="B58" s="76">
        <v>3</v>
      </c>
      <c r="C58" s="68" t="s">
        <v>326</v>
      </c>
      <c r="D58" s="336" t="s">
        <v>401</v>
      </c>
      <c r="E58" s="336"/>
      <c r="F58" s="336"/>
      <c r="H58" s="347">
        <f>((H47+H51+H53)/H56)*100</f>
        <v>30.748680485578234</v>
      </c>
      <c r="I58" s="68" t="s">
        <v>37</v>
      </c>
      <c r="N58" s="428">
        <v>3</v>
      </c>
      <c r="O58" s="68" t="s">
        <v>326</v>
      </c>
      <c r="P58" s="336" t="s">
        <v>401</v>
      </c>
      <c r="Q58" s="336"/>
      <c r="R58" s="336"/>
      <c r="S58" s="68"/>
      <c r="T58" s="347">
        <f>((T47+T51+T53)/T56)*100</f>
        <v>31.619460616842577</v>
      </c>
      <c r="U58" s="68" t="s">
        <v>37</v>
      </c>
      <c r="Z58" s="468">
        <v>3</v>
      </c>
      <c r="AA58" s="68" t="s">
        <v>326</v>
      </c>
      <c r="AB58" s="336" t="s">
        <v>401</v>
      </c>
      <c r="AC58" s="336"/>
      <c r="AD58" s="336"/>
      <c r="AE58" s="68"/>
      <c r="AF58" s="347">
        <f>((AF47+AF51+AF53)/AF56)*100</f>
        <v>30.691520928176065</v>
      </c>
      <c r="AG58" s="68" t="s">
        <v>37</v>
      </c>
      <c r="AL58" s="468">
        <v>3</v>
      </c>
      <c r="AM58" s="68" t="s">
        <v>326</v>
      </c>
      <c r="AN58" s="336" t="s">
        <v>401</v>
      </c>
      <c r="AO58" s="336"/>
      <c r="AP58" s="336"/>
      <c r="AQ58" s="68"/>
      <c r="AR58" s="347">
        <f>((AR47+AR51+AR53)/AR56)*100</f>
        <v>38.018349196253673</v>
      </c>
      <c r="AS58" s="68" t="s">
        <v>37</v>
      </c>
      <c r="AX58" s="468">
        <v>3</v>
      </c>
      <c r="AY58" s="68" t="s">
        <v>326</v>
      </c>
      <c r="AZ58" s="336" t="s">
        <v>401</v>
      </c>
      <c r="BA58" s="336"/>
      <c r="BB58" s="336"/>
      <c r="BC58" s="68"/>
      <c r="BD58" s="347">
        <f>((BD47+BD51+BD53)/BD56)*100</f>
        <v>43.361247250351077</v>
      </c>
      <c r="BE58" s="68" t="s">
        <v>37</v>
      </c>
      <c r="BJ58" s="468">
        <v>3</v>
      </c>
      <c r="BK58" s="68" t="s">
        <v>326</v>
      </c>
      <c r="BL58" s="336" t="s">
        <v>401</v>
      </c>
      <c r="BM58" s="336"/>
      <c r="BN58" s="336"/>
      <c r="BO58" s="68"/>
      <c r="BP58" s="347">
        <f>((BP47+BP51+BP53)/BP56)*100</f>
        <v>56.635055512495605</v>
      </c>
      <c r="BQ58" s="68" t="s">
        <v>37</v>
      </c>
      <c r="BV58" s="468">
        <v>3</v>
      </c>
      <c r="BW58" s="68" t="s">
        <v>326</v>
      </c>
      <c r="BX58" s="336" t="s">
        <v>401</v>
      </c>
      <c r="BY58" s="336"/>
      <c r="BZ58" s="336"/>
      <c r="CA58" s="68"/>
      <c r="CB58" s="347">
        <f>((CB47+CB51+CB53)/CB56)*100</f>
        <v>65.745800836130172</v>
      </c>
      <c r="CC58" s="68" t="s">
        <v>37</v>
      </c>
      <c r="CH58" s="468">
        <v>3</v>
      </c>
      <c r="CI58" s="68" t="s">
        <v>326</v>
      </c>
      <c r="CJ58" s="336" t="s">
        <v>401</v>
      </c>
      <c r="CK58" s="336"/>
      <c r="CL58" s="336"/>
      <c r="CM58" s="68"/>
      <c r="CN58" s="347">
        <f>((CN47+CN51+CN53)/CN56)*100</f>
        <v>71.355031478989943</v>
      </c>
      <c r="CO58" s="68" t="s">
        <v>37</v>
      </c>
      <c r="CT58" s="490">
        <v>3</v>
      </c>
      <c r="CU58" s="68" t="s">
        <v>326</v>
      </c>
      <c r="CV58" s="336" t="s">
        <v>401</v>
      </c>
      <c r="CW58" s="68" t="s">
        <v>37</v>
      </c>
      <c r="CX58" s="520">
        <f t="shared" si="48"/>
        <v>30.748680485578234</v>
      </c>
      <c r="CY58" s="347">
        <f t="shared" si="41"/>
        <v>30.691520928176065</v>
      </c>
      <c r="CZ58" s="347">
        <f t="shared" si="42"/>
        <v>31.619460616842577</v>
      </c>
      <c r="DA58" s="347">
        <f t="shared" si="43"/>
        <v>38.018349196253673</v>
      </c>
      <c r="DB58" s="347">
        <f t="shared" si="44"/>
        <v>43.361247250351077</v>
      </c>
      <c r="DC58" s="347">
        <f t="shared" si="45"/>
        <v>56.635055512495605</v>
      </c>
      <c r="DD58" s="347">
        <f t="shared" si="46"/>
        <v>65.745800836130172</v>
      </c>
      <c r="DE58" s="347">
        <f t="shared" si="47"/>
        <v>71.355031478989943</v>
      </c>
      <c r="DG58" s="68"/>
    </row>
    <row r="59" spans="2:111" ht="15" customHeight="1" x14ac:dyDescent="0.25">
      <c r="B59" s="76">
        <v>4</v>
      </c>
      <c r="C59" s="68" t="s">
        <v>397</v>
      </c>
      <c r="D59" s="336" t="s">
        <v>400</v>
      </c>
      <c r="E59" s="336"/>
      <c r="F59" s="336"/>
      <c r="H59" s="347">
        <f>(H48)/(H44+H49)</f>
        <v>2.1872063034359885</v>
      </c>
      <c r="I59" s="68"/>
      <c r="N59" s="76">
        <v>4</v>
      </c>
      <c r="O59" s="68" t="s">
        <v>397</v>
      </c>
      <c r="P59" s="336" t="s">
        <v>400</v>
      </c>
      <c r="Q59" s="336"/>
      <c r="R59" s="336"/>
      <c r="T59" s="347">
        <f>(T48)/(T44+T49)</f>
        <v>2.0890582232256416</v>
      </c>
      <c r="U59" s="68"/>
      <c r="Z59" s="76">
        <v>4</v>
      </c>
      <c r="AA59" s="68" t="s">
        <v>397</v>
      </c>
      <c r="AB59" s="336" t="s">
        <v>400</v>
      </c>
      <c r="AC59" s="336"/>
      <c r="AD59" s="336"/>
      <c r="AF59" s="347">
        <f>(AF48)/(AF44+AF49)</f>
        <v>2.1843847378722776</v>
      </c>
      <c r="AG59" s="68"/>
      <c r="AL59" s="76">
        <v>4</v>
      </c>
      <c r="AM59" s="68" t="s">
        <v>397</v>
      </c>
      <c r="AN59" s="336" t="s">
        <v>400</v>
      </c>
      <c r="AO59" s="336"/>
      <c r="AP59" s="336"/>
      <c r="AR59" s="347">
        <f>(AR48)/(AR44+AR49)</f>
        <v>1.5773357602058622</v>
      </c>
      <c r="AS59" s="68"/>
      <c r="AX59" s="76">
        <v>4</v>
      </c>
      <c r="AY59" s="68" t="s">
        <v>397</v>
      </c>
      <c r="AZ59" s="336" t="s">
        <v>400</v>
      </c>
      <c r="BA59" s="336"/>
      <c r="BB59" s="336"/>
      <c r="BD59" s="347">
        <f>(BD48)/(BD44+BD49)</f>
        <v>1.264212573512741</v>
      </c>
      <c r="BE59" s="68"/>
      <c r="BJ59" s="76">
        <v>4</v>
      </c>
      <c r="BK59" s="68" t="s">
        <v>397</v>
      </c>
      <c r="BL59" s="336" t="s">
        <v>400</v>
      </c>
      <c r="BM59" s="336"/>
      <c r="BN59" s="336"/>
      <c r="BP59" s="347">
        <f>(BP48)/(BP44+BP49)</f>
        <v>0.74251836501745172</v>
      </c>
      <c r="BQ59" s="68"/>
      <c r="BV59" s="76">
        <v>4</v>
      </c>
      <c r="BW59" s="68" t="s">
        <v>397</v>
      </c>
      <c r="BX59" s="336" t="s">
        <v>400</v>
      </c>
      <c r="BY59" s="336"/>
      <c r="BZ59" s="336"/>
      <c r="CB59" s="347">
        <f>(CB48)/(CB44+CB49)</f>
        <v>0.50492350144659215</v>
      </c>
      <c r="CC59" s="68"/>
      <c r="CH59" s="76">
        <v>4</v>
      </c>
      <c r="CI59" s="68" t="s">
        <v>397</v>
      </c>
      <c r="CJ59" s="336" t="s">
        <v>400</v>
      </c>
      <c r="CK59" s="336"/>
      <c r="CL59" s="336"/>
      <c r="CN59" s="347">
        <f>(CN48)/(CN44+CN49)</f>
        <v>0.38826572352341704</v>
      </c>
      <c r="CO59" s="68"/>
      <c r="CT59" s="76">
        <v>4</v>
      </c>
      <c r="CU59" s="68" t="s">
        <v>397</v>
      </c>
      <c r="CV59" s="336" t="s">
        <v>400</v>
      </c>
      <c r="CX59" s="520">
        <f t="shared" si="48"/>
        <v>2.1872063034359885</v>
      </c>
      <c r="CY59" s="347">
        <f t="shared" si="41"/>
        <v>2.1843847378722776</v>
      </c>
      <c r="CZ59" s="347">
        <f t="shared" si="42"/>
        <v>2.0890582232256416</v>
      </c>
      <c r="DA59" s="347">
        <f t="shared" si="43"/>
        <v>1.5773357602058622</v>
      </c>
      <c r="DB59" s="347">
        <f t="shared" si="44"/>
        <v>1.264212573512741</v>
      </c>
      <c r="DC59" s="347">
        <f t="shared" si="45"/>
        <v>0.74251836501745172</v>
      </c>
      <c r="DD59" s="347">
        <f t="shared" si="46"/>
        <v>0.50492350144659215</v>
      </c>
      <c r="DE59" s="347">
        <f t="shared" si="47"/>
        <v>0.38826572352341704</v>
      </c>
      <c r="DG59" s="68"/>
    </row>
    <row r="60" spans="2:111" ht="15" customHeight="1" x14ac:dyDescent="0.25">
      <c r="B60" s="76">
        <v>5</v>
      </c>
      <c r="C60" s="68" t="s">
        <v>398</v>
      </c>
      <c r="D60" s="336" t="s">
        <v>374</v>
      </c>
      <c r="E60" s="336"/>
      <c r="F60" s="336"/>
      <c r="H60" s="347">
        <f>H56/H45</f>
        <v>1.2135946669613238</v>
      </c>
      <c r="I60" s="68"/>
      <c r="N60" s="76">
        <v>5</v>
      </c>
      <c r="O60" s="68" t="s">
        <v>398</v>
      </c>
      <c r="P60" s="336" t="s">
        <v>374</v>
      </c>
      <c r="Q60" s="336"/>
      <c r="R60" s="336"/>
      <c r="T60" s="347">
        <f>T56/T45</f>
        <v>1.2733736452365469</v>
      </c>
      <c r="U60" s="68"/>
      <c r="Z60" s="76">
        <v>5</v>
      </c>
      <c r="AA60" s="68" t="s">
        <v>398</v>
      </c>
      <c r="AB60" s="336" t="s">
        <v>374</v>
      </c>
      <c r="AC60" s="336"/>
      <c r="AD60" s="336"/>
      <c r="AF60" s="347">
        <f>AF56/AF45</f>
        <v>1.2394197136583409</v>
      </c>
      <c r="AG60" s="68"/>
      <c r="AL60" s="76">
        <v>5</v>
      </c>
      <c r="AM60" s="68" t="s">
        <v>398</v>
      </c>
      <c r="AN60" s="336" t="s">
        <v>374</v>
      </c>
      <c r="AO60" s="336"/>
      <c r="AP60" s="336"/>
      <c r="AR60" s="347">
        <f>AR56/AR45</f>
        <v>1.4071071096128154</v>
      </c>
      <c r="AS60" s="68"/>
      <c r="AX60" s="76">
        <v>5</v>
      </c>
      <c r="AY60" s="68" t="s">
        <v>398</v>
      </c>
      <c r="AZ60" s="336" t="s">
        <v>374</v>
      </c>
      <c r="BA60" s="336"/>
      <c r="BB60" s="336"/>
      <c r="BD60" s="347">
        <f>BD56/BD45</f>
        <v>1.5423303318759909</v>
      </c>
      <c r="BE60" s="68"/>
      <c r="BJ60" s="76">
        <v>5</v>
      </c>
      <c r="BK60" s="68" t="s">
        <v>398</v>
      </c>
      <c r="BL60" s="336" t="s">
        <v>374</v>
      </c>
      <c r="BM60" s="336"/>
      <c r="BN60" s="336"/>
      <c r="BP60" s="347">
        <f>BP56/BP45</f>
        <v>2.0209262801776822</v>
      </c>
      <c r="BQ60" s="68"/>
      <c r="BV60" s="76">
        <v>5</v>
      </c>
      <c r="BW60" s="68" t="s">
        <v>398</v>
      </c>
      <c r="BX60" s="336" t="s">
        <v>374</v>
      </c>
      <c r="BY60" s="336"/>
      <c r="BZ60" s="336"/>
      <c r="CB60" s="347">
        <f>CB56/CB45</f>
        <v>2.5666647513923997</v>
      </c>
      <c r="CC60" s="68"/>
      <c r="CH60" s="76">
        <v>5</v>
      </c>
      <c r="CI60" s="68" t="s">
        <v>398</v>
      </c>
      <c r="CJ60" s="336" t="s">
        <v>374</v>
      </c>
      <c r="CK60" s="336"/>
      <c r="CL60" s="336"/>
      <c r="CN60" s="347">
        <f>CN56/CN45</f>
        <v>3.0791004411201714</v>
      </c>
      <c r="CO60" s="68"/>
      <c r="CT60" s="76">
        <v>5</v>
      </c>
      <c r="CU60" s="68" t="s">
        <v>398</v>
      </c>
      <c r="CV60" s="336" t="s">
        <v>374</v>
      </c>
      <c r="CX60" s="520">
        <f t="shared" si="48"/>
        <v>1.2135946669613238</v>
      </c>
      <c r="CY60" s="347">
        <f t="shared" si="41"/>
        <v>1.2394197136583409</v>
      </c>
      <c r="CZ60" s="347">
        <f t="shared" si="42"/>
        <v>1.2733736452365469</v>
      </c>
      <c r="DA60" s="347">
        <f t="shared" si="43"/>
        <v>1.4071071096128154</v>
      </c>
      <c r="DB60" s="347">
        <f t="shared" si="44"/>
        <v>1.5423303318759909</v>
      </c>
      <c r="DC60" s="347">
        <f t="shared" si="45"/>
        <v>2.0209262801776822</v>
      </c>
      <c r="DD60" s="347">
        <f t="shared" si="46"/>
        <v>2.5666647513923997</v>
      </c>
      <c r="DE60" s="347">
        <f t="shared" si="47"/>
        <v>3.0791004411201714</v>
      </c>
      <c r="DG60" s="68"/>
    </row>
    <row r="61" spans="2:111" ht="15" customHeight="1" x14ac:dyDescent="0.25">
      <c r="B61" s="76">
        <v>6</v>
      </c>
      <c r="C61" s="68" t="s">
        <v>327</v>
      </c>
      <c r="D61" s="336" t="s">
        <v>403</v>
      </c>
      <c r="E61" s="336"/>
      <c r="F61" s="336"/>
      <c r="H61" s="347">
        <f>(H46+H48)/(H47+H49)</f>
        <v>2.2521720744050158</v>
      </c>
      <c r="I61" s="68"/>
      <c r="N61" s="76">
        <v>6</v>
      </c>
      <c r="O61" s="68" t="s">
        <v>327</v>
      </c>
      <c r="P61" s="336" t="s">
        <v>403</v>
      </c>
      <c r="Q61" s="336"/>
      <c r="R61" s="336"/>
      <c r="T61" s="347">
        <f>(T46+T48)/(T47+T49)</f>
        <v>2.1626092934277796</v>
      </c>
      <c r="U61" s="68"/>
      <c r="Z61" s="76">
        <v>6</v>
      </c>
      <c r="AA61" s="68" t="s">
        <v>327</v>
      </c>
      <c r="AB61" s="336" t="s">
        <v>403</v>
      </c>
      <c r="AC61" s="336"/>
      <c r="AD61" s="336"/>
      <c r="AF61" s="347">
        <f>(AF46+AF48)/(AF47+AF49)</f>
        <v>2.2582288845840779</v>
      </c>
      <c r="AG61" s="68"/>
      <c r="AL61" s="76">
        <v>6</v>
      </c>
      <c r="AM61" s="68" t="s">
        <v>327</v>
      </c>
      <c r="AN61" s="336" t="s">
        <v>403</v>
      </c>
      <c r="AO61" s="336"/>
      <c r="AP61" s="336"/>
      <c r="AR61" s="347">
        <f>(AR46+AR48)/(AR47+AR49)</f>
        <v>1.6303088407072126</v>
      </c>
      <c r="AS61" s="68"/>
      <c r="AX61" s="76">
        <v>6</v>
      </c>
      <c r="AY61" s="68" t="s">
        <v>327</v>
      </c>
      <c r="AZ61" s="336" t="s">
        <v>403</v>
      </c>
      <c r="BA61" s="336"/>
      <c r="BB61" s="336"/>
      <c r="BD61" s="347">
        <f>(BD46+BD48)/(BD47+BD49)</f>
        <v>1.3062067246967932</v>
      </c>
      <c r="BE61" s="68"/>
      <c r="BJ61" s="76">
        <v>6</v>
      </c>
      <c r="BK61" s="68" t="s">
        <v>327</v>
      </c>
      <c r="BL61" s="336" t="s">
        <v>403</v>
      </c>
      <c r="BM61" s="336"/>
      <c r="BN61" s="336"/>
      <c r="BP61" s="347">
        <f>(BP46+BP48)/(BP47+BP49)</f>
        <v>0.76569086222466276</v>
      </c>
      <c r="BQ61" s="68"/>
      <c r="BV61" s="76">
        <v>6</v>
      </c>
      <c r="BW61" s="68" t="s">
        <v>327</v>
      </c>
      <c r="BX61" s="336" t="s">
        <v>403</v>
      </c>
      <c r="BY61" s="336"/>
      <c r="BZ61" s="336"/>
      <c r="CB61" s="347">
        <f>(CB46+CB48)/(CB47+CB49)</f>
        <v>0.52100968774032574</v>
      </c>
      <c r="CC61" s="68"/>
      <c r="CH61" s="76">
        <v>6</v>
      </c>
      <c r="CI61" s="68" t="s">
        <v>327</v>
      </c>
      <c r="CJ61" s="336" t="s">
        <v>403</v>
      </c>
      <c r="CK61" s="336"/>
      <c r="CL61" s="336"/>
      <c r="CN61" s="347">
        <f>(CN46+CN48)/(CN47+CN49)</f>
        <v>0.40144286853050271</v>
      </c>
      <c r="CO61" s="68"/>
      <c r="CT61" s="490">
        <v>6</v>
      </c>
      <c r="CU61" s="68" t="s">
        <v>327</v>
      </c>
      <c r="CV61" s="336" t="s">
        <v>403</v>
      </c>
      <c r="CW61" s="68"/>
      <c r="CX61" s="520">
        <f t="shared" si="48"/>
        <v>2.2521720744050158</v>
      </c>
      <c r="CY61" s="347">
        <f t="shared" si="41"/>
        <v>2.2582288845840779</v>
      </c>
      <c r="CZ61" s="347">
        <f t="shared" si="42"/>
        <v>2.1626092934277796</v>
      </c>
      <c r="DA61" s="347">
        <f t="shared" si="43"/>
        <v>1.6303088407072126</v>
      </c>
      <c r="DB61" s="347">
        <f t="shared" si="44"/>
        <v>1.3062067246967932</v>
      </c>
      <c r="DC61" s="347">
        <f t="shared" si="45"/>
        <v>0.76569086222466276</v>
      </c>
      <c r="DD61" s="347">
        <f t="shared" si="46"/>
        <v>0.52100968774032574</v>
      </c>
      <c r="DE61" s="347">
        <f t="shared" si="47"/>
        <v>0.40144286853050271</v>
      </c>
      <c r="DG61" s="68"/>
    </row>
    <row r="62" spans="2:111" ht="14.25" x14ac:dyDescent="0.25">
      <c r="B62" s="429">
        <v>7</v>
      </c>
      <c r="C62" s="332" t="s">
        <v>399</v>
      </c>
      <c r="D62" s="348" t="s">
        <v>402</v>
      </c>
      <c r="E62" s="433"/>
      <c r="F62" s="332"/>
      <c r="G62" s="332"/>
      <c r="H62" s="349">
        <f>H47/(H46+H48)</f>
        <v>0.24509866249478382</v>
      </c>
      <c r="I62" s="332"/>
      <c r="N62" s="429">
        <v>7</v>
      </c>
      <c r="O62" s="332" t="s">
        <v>399</v>
      </c>
      <c r="P62" s="348" t="s">
        <v>402</v>
      </c>
      <c r="Q62" s="433"/>
      <c r="R62" s="332"/>
      <c r="S62" s="332"/>
      <c r="T62" s="349">
        <f>T47/(T46+T48)</f>
        <v>0.30294568502404895</v>
      </c>
      <c r="U62" s="332"/>
      <c r="Z62" s="469">
        <v>7</v>
      </c>
      <c r="AA62" s="332" t="s">
        <v>399</v>
      </c>
      <c r="AB62" s="348" t="s">
        <v>402</v>
      </c>
      <c r="AC62" s="433"/>
      <c r="AD62" s="332"/>
      <c r="AE62" s="332"/>
      <c r="AF62" s="349">
        <f>AF47/(AF46+AF48)</f>
        <v>0.26844279225611839</v>
      </c>
      <c r="AG62" s="332"/>
      <c r="AL62" s="469">
        <v>7</v>
      </c>
      <c r="AM62" s="332" t="s">
        <v>399</v>
      </c>
      <c r="AN62" s="348" t="s">
        <v>402</v>
      </c>
      <c r="AO62" s="433"/>
      <c r="AP62" s="332"/>
      <c r="AQ62" s="332"/>
      <c r="AR62" s="349">
        <f>AR47/(AR46+AR48)</f>
        <v>0.45417953572151087</v>
      </c>
      <c r="AS62" s="332"/>
      <c r="AX62" s="469">
        <v>7</v>
      </c>
      <c r="AY62" s="332" t="s">
        <v>399</v>
      </c>
      <c r="AZ62" s="348" t="s">
        <v>402</v>
      </c>
      <c r="BA62" s="433"/>
      <c r="BB62" s="332"/>
      <c r="BC62" s="332"/>
      <c r="BD62" s="349">
        <f>BD47/(BD46+BD48)</f>
        <v>0.60663110687199207</v>
      </c>
      <c r="BE62" s="332"/>
      <c r="BJ62" s="469">
        <v>7</v>
      </c>
      <c r="BK62" s="332" t="s">
        <v>399</v>
      </c>
      <c r="BL62" s="348" t="s">
        <v>402</v>
      </c>
      <c r="BM62" s="433"/>
      <c r="BN62" s="332"/>
      <c r="BO62" s="332"/>
      <c r="BP62" s="349">
        <f>BP47/(BP46+BP48)</f>
        <v>1.1475764947827993</v>
      </c>
      <c r="BQ62" s="332"/>
      <c r="BV62" s="469">
        <v>7</v>
      </c>
      <c r="BW62" s="332" t="s">
        <v>399</v>
      </c>
      <c r="BX62" s="348" t="s">
        <v>402</v>
      </c>
      <c r="BY62" s="433"/>
      <c r="BZ62" s="332"/>
      <c r="CA62" s="332"/>
      <c r="CB62" s="349">
        <f>CB47/(CB46+CB48)</f>
        <v>1.7614241172315324</v>
      </c>
      <c r="CC62" s="332"/>
      <c r="CH62" s="469">
        <v>7</v>
      </c>
      <c r="CI62" s="332" t="s">
        <v>399</v>
      </c>
      <c r="CJ62" s="348" t="s">
        <v>402</v>
      </c>
      <c r="CK62" s="433"/>
      <c r="CL62" s="332"/>
      <c r="CM62" s="332"/>
      <c r="CN62" s="349">
        <f>CN47/(CN46+CN48)</f>
        <v>2.3335928675414093</v>
      </c>
      <c r="CO62" s="332"/>
      <c r="CT62" s="491">
        <v>7</v>
      </c>
      <c r="CU62" s="332" t="s">
        <v>399</v>
      </c>
      <c r="CV62" s="348" t="s">
        <v>402</v>
      </c>
      <c r="CW62" s="332"/>
      <c r="CX62" s="522">
        <f t="shared" si="48"/>
        <v>0.24509866249478382</v>
      </c>
      <c r="CY62" s="349">
        <f t="shared" si="41"/>
        <v>0.26844279225611839</v>
      </c>
      <c r="CZ62" s="349">
        <f t="shared" si="42"/>
        <v>0.30294568502404895</v>
      </c>
      <c r="DA62" s="349">
        <f t="shared" si="43"/>
        <v>0.45417953572151087</v>
      </c>
      <c r="DB62" s="349">
        <f t="shared" si="44"/>
        <v>0.60663110687199207</v>
      </c>
      <c r="DC62" s="349">
        <f t="shared" si="45"/>
        <v>1.1475764947827993</v>
      </c>
      <c r="DD62" s="349">
        <f t="shared" si="46"/>
        <v>1.7614241172315324</v>
      </c>
      <c r="DE62" s="349">
        <f t="shared" si="47"/>
        <v>2.3335928675414093</v>
      </c>
      <c r="DG62" s="68"/>
    </row>
    <row r="63" spans="2:111" ht="15" customHeight="1" x14ac:dyDescent="0.25">
      <c r="B63" s="606" t="s">
        <v>35</v>
      </c>
      <c r="C63" s="606"/>
      <c r="D63" s="336"/>
      <c r="E63" s="336"/>
      <c r="F63" s="336"/>
      <c r="H63" s="347"/>
      <c r="I63" s="68"/>
      <c r="O63" s="68"/>
      <c r="P63" s="336"/>
      <c r="Q63" s="336"/>
      <c r="R63" s="336"/>
      <c r="S63" s="347"/>
      <c r="T63" s="68"/>
      <c r="AA63" s="68"/>
      <c r="AB63" s="336"/>
      <c r="AC63" s="336"/>
      <c r="AD63" s="336"/>
      <c r="AE63" s="347"/>
      <c r="AF63" s="68"/>
      <c r="AM63" s="68"/>
      <c r="AN63" s="336"/>
      <c r="AO63" s="336"/>
      <c r="AP63" s="336"/>
      <c r="AQ63" s="347"/>
      <c r="AR63" s="68"/>
      <c r="AY63" s="68"/>
      <c r="AZ63" s="336"/>
      <c r="BA63" s="336"/>
      <c r="BB63" s="336"/>
      <c r="BC63" s="347"/>
      <c r="BD63" s="68"/>
      <c r="BK63" s="68"/>
      <c r="BL63" s="336"/>
      <c r="BM63" s="336"/>
      <c r="BN63" s="336"/>
      <c r="BO63" s="347"/>
      <c r="BP63" s="68"/>
      <c r="BW63" s="68"/>
      <c r="BX63" s="336"/>
      <c r="BY63" s="336"/>
      <c r="BZ63" s="336"/>
      <c r="CA63" s="347"/>
      <c r="CB63" s="68"/>
      <c r="CI63" s="68"/>
      <c r="CJ63" s="336"/>
      <c r="CK63" s="336"/>
      <c r="CL63" s="336"/>
      <c r="CM63" s="347"/>
      <c r="CN63" s="68"/>
      <c r="DB63" s="68"/>
      <c r="DC63" s="68"/>
      <c r="DD63" s="68"/>
      <c r="DE63" s="68"/>
      <c r="DF63" s="68"/>
      <c r="DG63" s="68"/>
    </row>
    <row r="64" spans="2:111" ht="15" customHeight="1" x14ac:dyDescent="0.25">
      <c r="B64" s="206">
        <v>1</v>
      </c>
      <c r="C64" s="195" t="s">
        <v>32</v>
      </c>
      <c r="D64" s="336"/>
      <c r="E64" s="336"/>
      <c r="F64" s="336"/>
      <c r="G64" s="347"/>
      <c r="H64" s="68"/>
      <c r="O64" s="68"/>
      <c r="P64" s="336"/>
      <c r="Q64" s="336"/>
      <c r="R64" s="336"/>
      <c r="S64" s="347"/>
      <c r="T64" s="68"/>
      <c r="U64" s="532"/>
      <c r="AA64" s="68"/>
      <c r="AB64" s="336"/>
      <c r="AC64" s="336"/>
      <c r="AD64" s="336"/>
      <c r="AE64" s="347"/>
      <c r="AF64" s="68"/>
      <c r="AM64" s="68"/>
      <c r="AN64" s="336"/>
      <c r="AO64" s="336"/>
      <c r="AP64" s="336"/>
      <c r="AQ64" s="347"/>
      <c r="AR64" s="68"/>
      <c r="AY64" s="68"/>
      <c r="AZ64" s="336"/>
      <c r="BA64" s="336"/>
      <c r="BB64" s="336"/>
      <c r="BC64" s="347"/>
      <c r="BD64" s="68"/>
      <c r="BK64" s="68"/>
      <c r="BL64" s="336"/>
      <c r="BM64" s="336"/>
      <c r="BN64" s="336"/>
      <c r="BO64" s="347"/>
      <c r="BP64" s="68"/>
      <c r="BW64" s="68"/>
      <c r="BX64" s="336"/>
      <c r="BY64" s="336"/>
      <c r="BZ64" s="336"/>
      <c r="CA64" s="347"/>
      <c r="CB64" s="68"/>
      <c r="CI64" s="68"/>
      <c r="CJ64" s="336"/>
      <c r="CK64" s="336"/>
      <c r="CL64" s="336"/>
      <c r="CM64" s="347"/>
      <c r="CN64" s="68"/>
    </row>
    <row r="65" spans="2:89" ht="15" customHeight="1" x14ac:dyDescent="0.25">
      <c r="B65" s="206">
        <v>2</v>
      </c>
      <c r="C65" s="195" t="s">
        <v>301</v>
      </c>
      <c r="D65" s="263"/>
      <c r="E65" s="263"/>
      <c r="P65" s="263"/>
      <c r="Q65" s="263"/>
      <c r="AB65" s="263"/>
      <c r="AC65" s="263"/>
      <c r="AN65" s="263"/>
      <c r="AO65" s="263"/>
      <c r="AZ65" s="263"/>
      <c r="BA65" s="263"/>
      <c r="BL65" s="263"/>
      <c r="BM65" s="263"/>
      <c r="BX65" s="263"/>
      <c r="BY65" s="263"/>
      <c r="CJ65" s="263"/>
      <c r="CK65" s="263"/>
    </row>
    <row r="66" spans="2:89" ht="15" customHeight="1" x14ac:dyDescent="0.25">
      <c r="B66" s="206">
        <v>3</v>
      </c>
      <c r="C66" s="195" t="s">
        <v>32</v>
      </c>
      <c r="D66" s="263"/>
      <c r="E66" s="263"/>
      <c r="P66" s="263"/>
      <c r="Q66" s="263"/>
      <c r="U66" s="531"/>
      <c r="AB66" s="263"/>
      <c r="AC66" s="263"/>
      <c r="AN66" s="263"/>
      <c r="AO66" s="263"/>
      <c r="AZ66" s="263"/>
      <c r="BA66" s="263"/>
      <c r="BL66" s="263"/>
      <c r="BM66" s="263"/>
      <c r="BX66" s="263"/>
      <c r="BY66" s="263"/>
      <c r="CJ66" s="263"/>
      <c r="CK66" s="263"/>
    </row>
    <row r="67" spans="2:89" ht="15" customHeight="1" x14ac:dyDescent="0.25">
      <c r="B67" s="206">
        <v>4</v>
      </c>
      <c r="C67" s="195" t="s">
        <v>32</v>
      </c>
      <c r="D67" s="263"/>
      <c r="E67" s="263"/>
      <c r="P67" s="263"/>
      <c r="Q67" s="263"/>
      <c r="AB67" s="263"/>
      <c r="AC67" s="263"/>
      <c r="AN67" s="263"/>
      <c r="AO67" s="263"/>
      <c r="AZ67" s="263"/>
      <c r="BA67" s="263"/>
      <c r="BL67" s="263"/>
      <c r="BM67" s="263"/>
      <c r="BX67" s="263"/>
      <c r="BY67" s="263"/>
      <c r="CJ67" s="263"/>
      <c r="CK67" s="263"/>
    </row>
    <row r="68" spans="2:89" ht="15" customHeight="1" x14ac:dyDescent="0.25">
      <c r="B68" s="206">
        <v>5</v>
      </c>
      <c r="C68" s="195" t="s">
        <v>36</v>
      </c>
    </row>
    <row r="69" spans="2:89" ht="15" customHeight="1" x14ac:dyDescent="0.25">
      <c r="B69" s="206">
        <v>6</v>
      </c>
      <c r="C69" s="195" t="s">
        <v>38</v>
      </c>
    </row>
    <row r="70" spans="2:89" ht="15" customHeight="1" x14ac:dyDescent="0.25">
      <c r="B70" s="206">
        <v>7</v>
      </c>
      <c r="C70" s="195" t="s">
        <v>41</v>
      </c>
    </row>
    <row r="71" spans="2:89" ht="15" customHeight="1" x14ac:dyDescent="0.25">
      <c r="B71" s="206">
        <v>8</v>
      </c>
      <c r="C71" s="195" t="s">
        <v>312</v>
      </c>
    </row>
    <row r="72" spans="2:89" ht="15" customHeight="1" x14ac:dyDescent="0.25">
      <c r="B72" s="206">
        <v>9</v>
      </c>
      <c r="C72" s="195" t="s">
        <v>312</v>
      </c>
    </row>
    <row r="73" spans="2:89" ht="15" customHeight="1" x14ac:dyDescent="0.25">
      <c r="B73" s="210">
        <v>11</v>
      </c>
      <c r="C73" s="195" t="s">
        <v>33</v>
      </c>
    </row>
    <row r="74" spans="2:89" ht="15" customHeight="1" x14ac:dyDescent="0.25">
      <c r="B74" s="210">
        <v>12</v>
      </c>
      <c r="C74" s="195" t="s">
        <v>33</v>
      </c>
    </row>
    <row r="75" spans="2:89" ht="15" customHeight="1" x14ac:dyDescent="0.25">
      <c r="B75" s="210">
        <v>13</v>
      </c>
      <c r="C75" s="195" t="s">
        <v>34</v>
      </c>
    </row>
    <row r="76" spans="2:89" ht="15" customHeight="1" x14ac:dyDescent="0.25">
      <c r="B76" s="210">
        <v>14</v>
      </c>
      <c r="C76" s="195" t="s">
        <v>34</v>
      </c>
    </row>
    <row r="77" spans="2:89" ht="15" customHeight="1" x14ac:dyDescent="0.25">
      <c r="B77" s="210">
        <v>15</v>
      </c>
      <c r="C77" s="195" t="s">
        <v>33</v>
      </c>
    </row>
    <row r="78" spans="2:89" ht="15" customHeight="1" x14ac:dyDescent="0.25">
      <c r="B78" s="210">
        <v>16</v>
      </c>
      <c r="C78" s="195" t="s">
        <v>33</v>
      </c>
    </row>
    <row r="79" spans="2:89" ht="15" customHeight="1" x14ac:dyDescent="0.25">
      <c r="B79" s="210">
        <v>17</v>
      </c>
      <c r="C79" s="195" t="s">
        <v>33</v>
      </c>
    </row>
    <row r="80" spans="2:89" ht="15" customHeight="1" x14ac:dyDescent="0.25">
      <c r="B80" s="210">
        <v>18</v>
      </c>
      <c r="C80" s="195" t="s">
        <v>33</v>
      </c>
    </row>
    <row r="81" spans="2:3" ht="15" customHeight="1" x14ac:dyDescent="0.25">
      <c r="B81" s="210">
        <v>19</v>
      </c>
      <c r="C81" s="195" t="s">
        <v>312</v>
      </c>
    </row>
    <row r="82" spans="2:3" ht="15" customHeight="1" x14ac:dyDescent="0.25">
      <c r="B82" s="210">
        <v>20</v>
      </c>
      <c r="C82" s="75" t="s">
        <v>301</v>
      </c>
    </row>
    <row r="83" spans="2:3" ht="15" customHeight="1" x14ac:dyDescent="0.25">
      <c r="B83" s="206">
        <v>21</v>
      </c>
      <c r="C83" s="195" t="s">
        <v>312</v>
      </c>
    </row>
    <row r="84" spans="2:3" ht="15" customHeight="1" x14ac:dyDescent="0.25">
      <c r="B84" s="269">
        <v>22</v>
      </c>
      <c r="C84" s="75" t="s">
        <v>476</v>
      </c>
    </row>
    <row r="85" spans="2:3" ht="15" customHeight="1" x14ac:dyDescent="0.25">
      <c r="B85" s="269">
        <v>23</v>
      </c>
      <c r="C85" s="75" t="s">
        <v>59</v>
      </c>
    </row>
    <row r="86" spans="2:3" ht="15" customHeight="1" x14ac:dyDescent="0.25">
      <c r="B86" s="269">
        <v>24</v>
      </c>
      <c r="C86" s="75" t="s">
        <v>306</v>
      </c>
    </row>
    <row r="87" spans="2:3" ht="15" customHeight="1" x14ac:dyDescent="0.25">
      <c r="B87" s="269">
        <v>25</v>
      </c>
      <c r="C87" s="75" t="s">
        <v>314</v>
      </c>
    </row>
    <row r="88" spans="2:3" ht="15" customHeight="1" x14ac:dyDescent="0.25">
      <c r="B88" s="269">
        <v>26</v>
      </c>
      <c r="C88" s="75" t="s">
        <v>315</v>
      </c>
    </row>
    <row r="89" spans="2:3" ht="15" customHeight="1" x14ac:dyDescent="0.25">
      <c r="B89" s="269">
        <v>27</v>
      </c>
      <c r="C89" s="75" t="s">
        <v>476</v>
      </c>
    </row>
    <row r="90" spans="2:3" ht="15" customHeight="1" x14ac:dyDescent="0.25">
      <c r="B90" s="269">
        <v>28</v>
      </c>
      <c r="C90" s="75" t="s">
        <v>476</v>
      </c>
    </row>
    <row r="91" spans="2:3" ht="15" customHeight="1" x14ac:dyDescent="0.25">
      <c r="B91" s="269">
        <v>29</v>
      </c>
      <c r="C91" s="195" t="s">
        <v>312</v>
      </c>
    </row>
    <row r="92" spans="2:3" ht="15" customHeight="1" x14ac:dyDescent="0.25">
      <c r="B92" s="269">
        <v>30</v>
      </c>
      <c r="C92" s="75" t="s">
        <v>59</v>
      </c>
    </row>
    <row r="93" spans="2:3" ht="15" customHeight="1" x14ac:dyDescent="0.25">
      <c r="B93" s="269">
        <v>31</v>
      </c>
      <c r="C93" s="75" t="s">
        <v>59</v>
      </c>
    </row>
    <row r="94" spans="2:3" ht="15" customHeight="1" x14ac:dyDescent="0.25">
      <c r="B94" s="39">
        <v>32</v>
      </c>
      <c r="C94" s="75" t="s">
        <v>476</v>
      </c>
    </row>
  </sheetData>
  <mergeCells count="25">
    <mergeCell ref="B63:C63"/>
    <mergeCell ref="B2:K2"/>
    <mergeCell ref="D4:E4"/>
    <mergeCell ref="D3:E3"/>
    <mergeCell ref="N2:W2"/>
    <mergeCell ref="P3:Q3"/>
    <mergeCell ref="P4:Q4"/>
    <mergeCell ref="Z2:AI2"/>
    <mergeCell ref="AB3:AC3"/>
    <mergeCell ref="AB4:AC4"/>
    <mergeCell ref="AL2:AU2"/>
    <mergeCell ref="AN3:AO3"/>
    <mergeCell ref="AN4:AO4"/>
    <mergeCell ref="AX2:BG2"/>
    <mergeCell ref="AZ3:BA3"/>
    <mergeCell ref="AZ4:BA4"/>
    <mergeCell ref="BJ2:BS2"/>
    <mergeCell ref="BL3:BM3"/>
    <mergeCell ref="BL4:BM4"/>
    <mergeCell ref="BV2:CE2"/>
    <mergeCell ref="BX3:BY3"/>
    <mergeCell ref="BX4:BY4"/>
    <mergeCell ref="CH2:CQ2"/>
    <mergeCell ref="CJ3:CK3"/>
    <mergeCell ref="CJ4:CK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3:V108"/>
  <sheetViews>
    <sheetView showGridLines="0" topLeftCell="S43" zoomScaleNormal="100" workbookViewId="0">
      <selection activeCell="W90" sqref="W90"/>
    </sheetView>
  </sheetViews>
  <sheetFormatPr defaultRowHeight="12.75" x14ac:dyDescent="0.2"/>
  <cols>
    <col min="1" max="1" width="9.140625" style="117"/>
    <col min="2" max="2" width="13.42578125" style="117" bestFit="1" customWidth="1"/>
    <col min="3" max="3" width="13.7109375" style="117" customWidth="1"/>
    <col min="4" max="4" width="14.28515625" style="117" bestFit="1" customWidth="1"/>
    <col min="5" max="5" width="11.85546875" style="117" bestFit="1" customWidth="1"/>
    <col min="6" max="6" width="11.28515625" style="117" bestFit="1" customWidth="1"/>
    <col min="7" max="7" width="14.28515625" style="117" customWidth="1"/>
    <col min="8" max="8" width="9.28515625" style="117" bestFit="1" customWidth="1"/>
    <col min="9" max="9" width="8" style="117" bestFit="1" customWidth="1"/>
    <col min="10" max="10" width="9.28515625" style="117" bestFit="1" customWidth="1"/>
    <col min="11" max="15" width="8" style="117" bestFit="1" customWidth="1"/>
    <col min="16" max="16" width="10.28515625" style="117" bestFit="1" customWidth="1"/>
    <col min="17" max="20" width="9.140625" style="117"/>
    <col min="21" max="21" width="13.140625" style="117" bestFit="1" customWidth="1"/>
    <col min="22" max="22" width="12" style="117" bestFit="1" customWidth="1"/>
    <col min="23" max="16384" width="9.140625" style="117"/>
  </cols>
  <sheetData>
    <row r="3" spans="2:15" x14ac:dyDescent="0.2">
      <c r="B3" s="314" t="s">
        <v>477</v>
      </c>
    </row>
    <row r="4" spans="2:15" s="271" customFormat="1" x14ac:dyDescent="0.2">
      <c r="B4" s="648" t="s">
        <v>99</v>
      </c>
      <c r="C4" s="650" t="s">
        <v>100</v>
      </c>
      <c r="D4" s="477"/>
      <c r="E4" s="209" t="s">
        <v>334</v>
      </c>
      <c r="F4" s="209" t="s">
        <v>335</v>
      </c>
      <c r="G4" s="209" t="s">
        <v>3</v>
      </c>
      <c r="H4" s="209" t="s">
        <v>4</v>
      </c>
      <c r="I4" s="209" t="s">
        <v>5</v>
      </c>
      <c r="J4" s="209" t="s">
        <v>6</v>
      </c>
      <c r="K4" s="209" t="s">
        <v>7</v>
      </c>
      <c r="L4" s="209" t="s">
        <v>8</v>
      </c>
      <c r="M4" s="209" t="s">
        <v>9</v>
      </c>
      <c r="N4" s="209" t="s">
        <v>10</v>
      </c>
      <c r="O4" s="209" t="s">
        <v>11</v>
      </c>
    </row>
    <row r="5" spans="2:15" s="271" customFormat="1" x14ac:dyDescent="0.2">
      <c r="B5" s="649"/>
      <c r="C5" s="651"/>
      <c r="D5" s="478" t="s">
        <v>329</v>
      </c>
      <c r="E5" s="227" t="s">
        <v>336</v>
      </c>
      <c r="F5" s="227" t="s">
        <v>337</v>
      </c>
      <c r="G5" s="270" t="s">
        <v>338</v>
      </c>
      <c r="H5" s="270"/>
      <c r="I5" s="270"/>
      <c r="J5" s="270" t="s">
        <v>336</v>
      </c>
      <c r="K5" s="270"/>
      <c r="L5" s="270"/>
      <c r="M5" s="270"/>
      <c r="N5" s="270"/>
      <c r="O5" s="270"/>
    </row>
    <row r="6" spans="2:15" s="271" customFormat="1" x14ac:dyDescent="0.2">
      <c r="B6" s="642" t="s">
        <v>70</v>
      </c>
      <c r="C6" s="643">
        <v>1.5</v>
      </c>
      <c r="D6" s="275" t="s">
        <v>330</v>
      </c>
      <c r="E6" s="456">
        <v>2</v>
      </c>
      <c r="F6" s="456">
        <v>1</v>
      </c>
      <c r="G6" s="456">
        <v>0.40000000000000013</v>
      </c>
      <c r="H6" s="456">
        <v>3.4437000000000015</v>
      </c>
      <c r="I6" s="456">
        <v>1.4284700000000008</v>
      </c>
      <c r="J6" s="442">
        <v>0</v>
      </c>
      <c r="K6" s="456">
        <v>4.9999999999999989E-2</v>
      </c>
      <c r="L6" s="456">
        <v>3.2820000000000071E-2</v>
      </c>
      <c r="M6" s="456">
        <v>3.4731000000000023</v>
      </c>
      <c r="N6" s="456">
        <v>16.799999999999997</v>
      </c>
      <c r="O6" s="456">
        <v>0.56917000000000018</v>
      </c>
    </row>
    <row r="7" spans="2:15" s="271" customFormat="1" x14ac:dyDescent="0.2">
      <c r="B7" s="642"/>
      <c r="C7" s="643"/>
      <c r="D7" s="275" t="s">
        <v>331</v>
      </c>
      <c r="E7" s="442">
        <v>-6</v>
      </c>
      <c r="F7" s="442">
        <v>-1</v>
      </c>
      <c r="G7" s="456">
        <v>0.70000000000000007</v>
      </c>
      <c r="H7" s="442">
        <v>-1.4304600000000001</v>
      </c>
      <c r="I7" s="456">
        <v>0.16924999999999901</v>
      </c>
      <c r="J7" s="456">
        <v>1</v>
      </c>
      <c r="K7" s="456">
        <v>2.9999999999999971E-2</v>
      </c>
      <c r="L7" s="456">
        <v>0.21880000000000011</v>
      </c>
      <c r="M7" s="456">
        <v>3.6274600000000028</v>
      </c>
      <c r="N7" s="456">
        <v>1.8000000000000043</v>
      </c>
      <c r="O7" s="456">
        <v>0.42111999999999994</v>
      </c>
    </row>
    <row r="8" spans="2:15" s="271" customFormat="1" x14ac:dyDescent="0.2">
      <c r="B8" s="642"/>
      <c r="C8" s="643"/>
      <c r="D8" s="275" t="s">
        <v>332</v>
      </c>
      <c r="E8" s="442">
        <v>0</v>
      </c>
      <c r="F8" s="456">
        <v>2</v>
      </c>
      <c r="G8" s="456">
        <v>1.4</v>
      </c>
      <c r="H8" s="442">
        <v>-1.9602600000000008</v>
      </c>
      <c r="I8" s="456">
        <v>1.2050599999999996</v>
      </c>
      <c r="J8" s="456">
        <v>1</v>
      </c>
      <c r="K8" s="442">
        <v>-3.0000000000000027E-2</v>
      </c>
      <c r="L8" s="456">
        <v>0.27349999999999985</v>
      </c>
      <c r="M8" s="456">
        <v>1.6207799999999999</v>
      </c>
      <c r="N8" s="456">
        <v>2.6000000000000014</v>
      </c>
      <c r="O8" s="442">
        <v>-1.06925</v>
      </c>
    </row>
    <row r="9" spans="2:15" s="271" customFormat="1" x14ac:dyDescent="0.2">
      <c r="B9" s="642"/>
      <c r="C9" s="643"/>
      <c r="D9" s="275" t="s">
        <v>333</v>
      </c>
      <c r="E9" s="442">
        <v>0</v>
      </c>
      <c r="F9" s="442">
        <v>0</v>
      </c>
      <c r="G9" s="456">
        <v>1.2999999999999998</v>
      </c>
      <c r="H9" s="442">
        <v>-5.2979999999999805E-2</v>
      </c>
      <c r="I9" s="456">
        <v>1.2253699999999994</v>
      </c>
      <c r="J9" s="456">
        <v>2</v>
      </c>
      <c r="K9" s="442">
        <v>-9.9999999999999534E-3</v>
      </c>
      <c r="L9" s="456">
        <v>0.47041999999999984</v>
      </c>
      <c r="M9" s="456">
        <v>7.7179999999998472E-2</v>
      </c>
      <c r="N9" s="456">
        <v>8.8000000000000007</v>
      </c>
      <c r="O9" s="456">
        <v>0.16121000000000002</v>
      </c>
    </row>
    <row r="10" spans="2:15" s="271" customFormat="1" x14ac:dyDescent="0.2">
      <c r="B10" s="458"/>
      <c r="C10" s="458"/>
      <c r="D10" s="459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</row>
    <row r="11" spans="2:15" s="271" customFormat="1" x14ac:dyDescent="0.2">
      <c r="B11" s="642" t="s">
        <v>72</v>
      </c>
      <c r="C11" s="643">
        <v>5</v>
      </c>
      <c r="D11" s="275" t="s">
        <v>330</v>
      </c>
      <c r="E11" s="456">
        <v>3</v>
      </c>
      <c r="F11" s="456">
        <v>3</v>
      </c>
      <c r="G11" s="456">
        <v>9.9999999999999867E-2</v>
      </c>
      <c r="H11" s="456">
        <v>6.0993600000000008</v>
      </c>
      <c r="I11" s="456">
        <v>2.2570800000000002</v>
      </c>
      <c r="J11" s="456">
        <v>1</v>
      </c>
      <c r="K11" s="456">
        <v>0.06</v>
      </c>
      <c r="L11" s="456">
        <v>7.3019999999999863E-2</v>
      </c>
      <c r="M11" s="442">
        <v>-1.2348800000000004</v>
      </c>
      <c r="N11" s="456">
        <v>7.2999999999999972</v>
      </c>
      <c r="O11" s="456">
        <v>1.0865200000000002</v>
      </c>
    </row>
    <row r="12" spans="2:15" s="271" customFormat="1" x14ac:dyDescent="0.2">
      <c r="B12" s="642"/>
      <c r="C12" s="643"/>
      <c r="D12" s="275" t="s">
        <v>331</v>
      </c>
      <c r="E12" s="442">
        <v>-7</v>
      </c>
      <c r="F12" s="456">
        <v>2</v>
      </c>
      <c r="G12" s="456">
        <v>0.49999999999999989</v>
      </c>
      <c r="H12" s="442">
        <v>-1.4834400000000008</v>
      </c>
      <c r="I12" s="456">
        <v>0.42347999999999963</v>
      </c>
      <c r="J12" s="456">
        <v>1</v>
      </c>
      <c r="K12" s="456">
        <v>1.9999999999999962E-2</v>
      </c>
      <c r="L12" s="456">
        <v>0.30738000000000043</v>
      </c>
      <c r="M12" s="456">
        <v>2.2382199999999983</v>
      </c>
      <c r="N12" s="456">
        <v>12.5</v>
      </c>
      <c r="O12" s="456">
        <v>0.45706999999999987</v>
      </c>
    </row>
    <row r="13" spans="2:15" s="271" customFormat="1" x14ac:dyDescent="0.2">
      <c r="B13" s="642"/>
      <c r="C13" s="643"/>
      <c r="D13" s="275" t="s">
        <v>332</v>
      </c>
      <c r="E13" s="442">
        <v>0</v>
      </c>
      <c r="F13" s="456">
        <v>3</v>
      </c>
      <c r="G13" s="456">
        <v>0.30000000000000004</v>
      </c>
      <c r="H13" s="442">
        <v>-1.9536200000000008</v>
      </c>
      <c r="I13" s="456">
        <v>0.14306000000000019</v>
      </c>
      <c r="J13" s="456">
        <v>3</v>
      </c>
      <c r="K13" s="442">
        <v>-9.0000000000000024E-2</v>
      </c>
      <c r="L13" s="456">
        <v>0.43759999999999932</v>
      </c>
      <c r="M13" s="456">
        <v>2.2382200000000001</v>
      </c>
      <c r="N13" s="456">
        <v>14.700000000000003</v>
      </c>
      <c r="O13" s="442">
        <v>-1.1108000000000002</v>
      </c>
    </row>
    <row r="14" spans="2:15" s="271" customFormat="1" x14ac:dyDescent="0.2">
      <c r="B14" s="642"/>
      <c r="C14" s="643"/>
      <c r="D14" s="275" t="s">
        <v>333</v>
      </c>
      <c r="E14" s="442">
        <v>0</v>
      </c>
      <c r="F14" s="456">
        <v>1</v>
      </c>
      <c r="G14" s="456">
        <v>9.9999999999999978E-2</v>
      </c>
      <c r="H14" s="456">
        <v>0.47684000000000104</v>
      </c>
      <c r="I14" s="456">
        <v>0.31231000000000009</v>
      </c>
      <c r="J14" s="456">
        <v>5</v>
      </c>
      <c r="K14" s="442">
        <v>-8.9999999999999969E-2</v>
      </c>
      <c r="L14" s="456">
        <v>0.50323999999999991</v>
      </c>
      <c r="M14" s="456">
        <v>1.1242999999999981</v>
      </c>
      <c r="N14" s="442">
        <v>17.7</v>
      </c>
      <c r="O14" s="456">
        <v>2.8230000000000033E-2</v>
      </c>
    </row>
    <row r="15" spans="2:15" s="271" customFormat="1" x14ac:dyDescent="0.2">
      <c r="B15" s="458"/>
      <c r="C15" s="458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</row>
    <row r="16" spans="2:15" s="271" customFormat="1" x14ac:dyDescent="0.2">
      <c r="B16" s="642" t="s">
        <v>74</v>
      </c>
      <c r="C16" s="643">
        <v>8</v>
      </c>
      <c r="D16" s="275" t="s">
        <v>330</v>
      </c>
      <c r="E16" s="442">
        <v>-4</v>
      </c>
      <c r="F16" s="442">
        <v>-1</v>
      </c>
      <c r="G16" s="442">
        <v>-1.0999999999999999</v>
      </c>
      <c r="H16" s="442">
        <v>-2</v>
      </c>
      <c r="I16" s="456">
        <v>1</v>
      </c>
      <c r="J16" s="442">
        <v>0</v>
      </c>
      <c r="K16" s="456">
        <v>4.0000000000000036E-2</v>
      </c>
      <c r="L16" s="456">
        <v>1</v>
      </c>
      <c r="M16" s="456">
        <v>7</v>
      </c>
      <c r="N16" s="456">
        <v>5.9000000000000021</v>
      </c>
      <c r="O16" s="442">
        <v>-0.7</v>
      </c>
    </row>
    <row r="17" spans="2:15" s="271" customFormat="1" x14ac:dyDescent="0.2">
      <c r="B17" s="642"/>
      <c r="C17" s="643"/>
      <c r="D17" s="275" t="s">
        <v>331</v>
      </c>
      <c r="E17" s="442">
        <v>-1</v>
      </c>
      <c r="F17" s="442">
        <v>-2</v>
      </c>
      <c r="G17" s="442">
        <v>-0.7</v>
      </c>
      <c r="H17" s="442">
        <v>-2</v>
      </c>
      <c r="I17" s="442">
        <v>-1</v>
      </c>
      <c r="J17" s="442">
        <v>0</v>
      </c>
      <c r="K17" s="456">
        <v>2.0000000000000018E-2</v>
      </c>
      <c r="L17" s="442">
        <v>-9.9999999999999867E-2</v>
      </c>
      <c r="M17" s="456">
        <v>3</v>
      </c>
      <c r="N17" s="456">
        <v>4.9000000000000021</v>
      </c>
      <c r="O17" s="442">
        <v>-0.4</v>
      </c>
    </row>
    <row r="18" spans="2:15" s="271" customFormat="1" x14ac:dyDescent="0.2">
      <c r="B18" s="642"/>
      <c r="C18" s="643"/>
      <c r="D18" s="275" t="s">
        <v>332</v>
      </c>
      <c r="E18" s="442">
        <v>-1</v>
      </c>
      <c r="F18" s="442">
        <v>-1</v>
      </c>
      <c r="G18" s="442">
        <v>-0.7</v>
      </c>
      <c r="H18" s="442">
        <v>0</v>
      </c>
      <c r="I18" s="442">
        <v>-1</v>
      </c>
      <c r="J18" s="442">
        <v>0</v>
      </c>
      <c r="K18" s="456">
        <v>0.06</v>
      </c>
      <c r="L18" s="442">
        <v>-0.10000000000000009</v>
      </c>
      <c r="M18" s="456">
        <v>2</v>
      </c>
      <c r="N18" s="456">
        <v>0.29999999999999982</v>
      </c>
      <c r="O18" s="442">
        <v>0</v>
      </c>
    </row>
    <row r="19" spans="2:15" s="271" customFormat="1" x14ac:dyDescent="0.2">
      <c r="B19" s="642"/>
      <c r="C19" s="643"/>
      <c r="D19" s="275" t="s">
        <v>333</v>
      </c>
      <c r="E19" s="442">
        <v>-1</v>
      </c>
      <c r="F19" s="442">
        <v>-2</v>
      </c>
      <c r="G19" s="442">
        <v>-0.89999999999999991</v>
      </c>
      <c r="H19" s="456">
        <v>1</v>
      </c>
      <c r="I19" s="442">
        <v>0</v>
      </c>
      <c r="J19" s="442">
        <v>-1</v>
      </c>
      <c r="K19" s="442">
        <v>0</v>
      </c>
      <c r="L19" s="442">
        <v>-9.9999999999999867E-2</v>
      </c>
      <c r="M19" s="456">
        <v>2</v>
      </c>
      <c r="N19" s="442">
        <v>-8.2999999999999989</v>
      </c>
      <c r="O19" s="442">
        <v>0</v>
      </c>
    </row>
    <row r="20" spans="2:15" s="271" customFormat="1" x14ac:dyDescent="0.2">
      <c r="B20" s="458"/>
      <c r="C20" s="458"/>
      <c r="D20" s="459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</row>
    <row r="21" spans="2:15" s="271" customFormat="1" x14ac:dyDescent="0.2">
      <c r="B21" s="642" t="s">
        <v>76</v>
      </c>
      <c r="C21" s="643">
        <v>14</v>
      </c>
      <c r="D21" s="274" t="s">
        <v>330</v>
      </c>
      <c r="E21" s="457">
        <v>1</v>
      </c>
      <c r="F21" s="457">
        <v>3</v>
      </c>
      <c r="G21" s="457">
        <v>0.59999999999999987</v>
      </c>
      <c r="H21" s="457">
        <v>4</v>
      </c>
      <c r="I21" s="457">
        <v>1</v>
      </c>
      <c r="J21" s="457">
        <v>1</v>
      </c>
      <c r="K21" s="457">
        <v>9.9999999999999811E-3</v>
      </c>
      <c r="L21" s="443">
        <v>-0.5</v>
      </c>
      <c r="M21" s="457">
        <v>1</v>
      </c>
      <c r="N21" s="457">
        <v>4.2000000000000028</v>
      </c>
      <c r="O21" s="457">
        <v>0.5</v>
      </c>
    </row>
    <row r="22" spans="2:15" s="271" customFormat="1" x14ac:dyDescent="0.2">
      <c r="B22" s="642"/>
      <c r="C22" s="643"/>
      <c r="D22" s="274" t="s">
        <v>331</v>
      </c>
      <c r="E22" s="457">
        <v>1</v>
      </c>
      <c r="F22" s="443">
        <v>-1</v>
      </c>
      <c r="G22" s="457">
        <v>0.59999999999999987</v>
      </c>
      <c r="H22" s="443">
        <v>-6</v>
      </c>
      <c r="I22" s="457">
        <v>1</v>
      </c>
      <c r="J22" s="457">
        <v>3</v>
      </c>
      <c r="K22" s="457">
        <v>8.9999999999999969E-2</v>
      </c>
      <c r="L22" s="443">
        <v>-0.30000000000000027</v>
      </c>
      <c r="M22" s="457">
        <v>4</v>
      </c>
      <c r="N22" s="443">
        <v>-2.7999999999999972</v>
      </c>
      <c r="O22" s="457">
        <v>0.30000000000000004</v>
      </c>
    </row>
    <row r="23" spans="2:15" s="271" customFormat="1" x14ac:dyDescent="0.2">
      <c r="B23" s="642"/>
      <c r="C23" s="643"/>
      <c r="D23" s="274" t="s">
        <v>332</v>
      </c>
      <c r="E23" s="443">
        <v>0</v>
      </c>
      <c r="F23" s="443">
        <v>0</v>
      </c>
      <c r="G23" s="457">
        <v>0.70000000000000007</v>
      </c>
      <c r="H23" s="443">
        <v>-7</v>
      </c>
      <c r="I23" s="443">
        <v>0</v>
      </c>
      <c r="J23" s="443">
        <v>-2</v>
      </c>
      <c r="K23" s="457">
        <v>5.0000000000000044E-2</v>
      </c>
      <c r="L23" s="443">
        <v>-0.10000000000000009</v>
      </c>
      <c r="M23" s="443">
        <v>-1</v>
      </c>
      <c r="N23" s="443">
        <v>-22.700000000000003</v>
      </c>
      <c r="O23" s="457">
        <v>9.9999999999999978E-2</v>
      </c>
    </row>
    <row r="24" spans="2:15" s="271" customFormat="1" x14ac:dyDescent="0.2">
      <c r="B24" s="642"/>
      <c r="C24" s="643"/>
      <c r="D24" s="274" t="s">
        <v>333</v>
      </c>
      <c r="E24" s="443">
        <v>0</v>
      </c>
      <c r="F24" s="443">
        <v>-1</v>
      </c>
      <c r="G24" s="457">
        <v>0.19999999999999996</v>
      </c>
      <c r="H24" s="443">
        <v>-6</v>
      </c>
      <c r="I24" s="443">
        <v>-2</v>
      </c>
      <c r="J24" s="443">
        <v>-2</v>
      </c>
      <c r="K24" s="457">
        <v>2.0000000000000018E-2</v>
      </c>
      <c r="L24" s="443">
        <v>-0.10000000000000009</v>
      </c>
      <c r="M24" s="443">
        <v>-1</v>
      </c>
      <c r="N24" s="457">
        <v>3.1000000000000014</v>
      </c>
      <c r="O24" s="457">
        <v>0.29999999999999993</v>
      </c>
    </row>
    <row r="25" spans="2:15" s="271" customFormat="1" x14ac:dyDescent="0.2">
      <c r="B25" s="458"/>
      <c r="C25" s="458"/>
      <c r="D25" s="459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</row>
    <row r="26" spans="2:15" s="271" customFormat="1" x14ac:dyDescent="0.2">
      <c r="B26" s="642" t="s">
        <v>78</v>
      </c>
      <c r="C26" s="643">
        <v>20</v>
      </c>
      <c r="D26" s="274" t="s">
        <v>330</v>
      </c>
      <c r="E26" s="457">
        <v>7</v>
      </c>
      <c r="F26" s="457">
        <v>23</v>
      </c>
      <c r="G26" s="457">
        <v>1.1000000000000001</v>
      </c>
      <c r="H26" s="457">
        <v>32</v>
      </c>
      <c r="I26" s="457">
        <v>9</v>
      </c>
      <c r="J26" s="457">
        <v>3</v>
      </c>
      <c r="K26" s="457">
        <v>0.10000000000000003</v>
      </c>
      <c r="L26" s="457">
        <v>5.9</v>
      </c>
      <c r="M26" s="457">
        <v>1</v>
      </c>
      <c r="N26" s="457">
        <v>33.299999999999997</v>
      </c>
      <c r="O26" s="457">
        <v>4.0999999999999996</v>
      </c>
    </row>
    <row r="27" spans="2:15" s="271" customFormat="1" x14ac:dyDescent="0.2">
      <c r="B27" s="642"/>
      <c r="C27" s="643"/>
      <c r="D27" s="274" t="s">
        <v>331</v>
      </c>
      <c r="E27" s="457">
        <v>4</v>
      </c>
      <c r="F27" s="457">
        <v>14</v>
      </c>
      <c r="G27" s="457">
        <v>1.7999999999999998</v>
      </c>
      <c r="H27" s="457">
        <v>10</v>
      </c>
      <c r="I27" s="457">
        <v>8</v>
      </c>
      <c r="J27" s="443">
        <v>-1</v>
      </c>
      <c r="K27" s="457">
        <v>7.0000000000000007E-2</v>
      </c>
      <c r="L27" s="457">
        <v>6.9</v>
      </c>
      <c r="M27" s="457">
        <v>7</v>
      </c>
      <c r="N27" s="457">
        <v>73.400000000000006</v>
      </c>
      <c r="O27" s="457">
        <v>5.9</v>
      </c>
    </row>
    <row r="28" spans="2:15" s="271" customFormat="1" x14ac:dyDescent="0.2">
      <c r="B28" s="642"/>
      <c r="C28" s="643"/>
      <c r="D28" s="274" t="s">
        <v>332</v>
      </c>
      <c r="E28" s="457">
        <v>3</v>
      </c>
      <c r="F28" s="457">
        <v>6</v>
      </c>
      <c r="G28" s="457">
        <v>0.5</v>
      </c>
      <c r="H28" s="457">
        <v>9</v>
      </c>
      <c r="I28" s="457">
        <v>6</v>
      </c>
      <c r="J28" s="457">
        <v>3</v>
      </c>
      <c r="K28" s="457">
        <v>0.12</v>
      </c>
      <c r="L28" s="457">
        <v>3.0999999999999996</v>
      </c>
      <c r="M28" s="457">
        <v>2</v>
      </c>
      <c r="N28" s="457">
        <v>17.899999999999991</v>
      </c>
      <c r="O28" s="457">
        <v>5</v>
      </c>
    </row>
    <row r="29" spans="2:15" s="271" customFormat="1" x14ac:dyDescent="0.2">
      <c r="B29" s="642"/>
      <c r="C29" s="643"/>
      <c r="D29" s="274" t="s">
        <v>333</v>
      </c>
      <c r="E29" s="457">
        <v>4</v>
      </c>
      <c r="F29" s="457">
        <v>2</v>
      </c>
      <c r="G29" s="457">
        <v>0.5</v>
      </c>
      <c r="H29" s="457">
        <v>11</v>
      </c>
      <c r="I29" s="457">
        <v>4</v>
      </c>
      <c r="J29" s="443">
        <v>-1</v>
      </c>
      <c r="K29" s="457">
        <v>2.0000000000000018E-2</v>
      </c>
      <c r="L29" s="457">
        <v>5.3999999999999995</v>
      </c>
      <c r="M29" s="443">
        <v>-1</v>
      </c>
      <c r="N29" s="443">
        <v>-3.7999999999999972</v>
      </c>
      <c r="O29" s="457">
        <v>1.1000000000000001</v>
      </c>
    </row>
    <row r="30" spans="2:15" s="271" customFormat="1" x14ac:dyDescent="0.2">
      <c r="B30" s="458"/>
      <c r="C30" s="458"/>
      <c r="D30" s="459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</row>
    <row r="31" spans="2:15" s="271" customFormat="1" x14ac:dyDescent="0.2">
      <c r="B31" s="642" t="s">
        <v>80</v>
      </c>
      <c r="C31" s="643">
        <v>26</v>
      </c>
      <c r="D31" s="274" t="s">
        <v>330</v>
      </c>
      <c r="E31" s="457">
        <v>5</v>
      </c>
      <c r="F31" s="457">
        <v>10</v>
      </c>
      <c r="G31" s="457">
        <v>0.5</v>
      </c>
      <c r="H31" s="457">
        <v>13</v>
      </c>
      <c r="I31" s="457">
        <v>3</v>
      </c>
      <c r="J31" s="457">
        <v>2</v>
      </c>
      <c r="K31" s="443">
        <v>-4.9999999999999989E-2</v>
      </c>
      <c r="L31" s="443">
        <v>-0.5</v>
      </c>
      <c r="M31" s="457">
        <v>10</v>
      </c>
      <c r="N31" s="443">
        <v>-24.300000000000004</v>
      </c>
      <c r="O31" s="457">
        <v>0.29999999999999982</v>
      </c>
    </row>
    <row r="32" spans="2:15" s="271" customFormat="1" x14ac:dyDescent="0.2">
      <c r="B32" s="642"/>
      <c r="C32" s="643"/>
      <c r="D32" s="274" t="s">
        <v>331</v>
      </c>
      <c r="E32" s="457">
        <v>3</v>
      </c>
      <c r="F32" s="457">
        <v>4</v>
      </c>
      <c r="G32" s="457">
        <v>0.10000000000000009</v>
      </c>
      <c r="H32" s="457">
        <v>3</v>
      </c>
      <c r="I32" s="457">
        <v>3</v>
      </c>
      <c r="J32" s="457">
        <v>3</v>
      </c>
      <c r="K32" s="443">
        <v>-9.9999999999999811E-3</v>
      </c>
      <c r="L32" s="443">
        <v>-0.20000000000000018</v>
      </c>
      <c r="M32" s="457">
        <v>6</v>
      </c>
      <c r="N32" s="443">
        <v>-20.900000000000006</v>
      </c>
      <c r="O32" s="457">
        <v>9.9999999999999867E-2</v>
      </c>
    </row>
    <row r="33" spans="2:15" s="271" customFormat="1" x14ac:dyDescent="0.2">
      <c r="B33" s="642"/>
      <c r="C33" s="643"/>
      <c r="D33" s="274" t="s">
        <v>332</v>
      </c>
      <c r="E33" s="443">
        <v>-1</v>
      </c>
      <c r="F33" s="457">
        <v>2</v>
      </c>
      <c r="G33" s="457">
        <v>0.30000000000000004</v>
      </c>
      <c r="H33" s="443">
        <v>-1</v>
      </c>
      <c r="I33" s="457">
        <v>1</v>
      </c>
      <c r="J33" s="457">
        <v>2</v>
      </c>
      <c r="K33" s="457">
        <v>0.22999999999999998</v>
      </c>
      <c r="L33" s="443">
        <v>-0.20000000000000018</v>
      </c>
      <c r="M33" s="457">
        <v>4</v>
      </c>
      <c r="N33" s="443">
        <v>-12.599999999999994</v>
      </c>
      <c r="O33" s="457">
        <v>0.30000000000000004</v>
      </c>
    </row>
    <row r="34" spans="2:15" s="271" customFormat="1" x14ac:dyDescent="0.2">
      <c r="B34" s="642"/>
      <c r="C34" s="643"/>
      <c r="D34" s="274" t="s">
        <v>333</v>
      </c>
      <c r="E34" s="443">
        <v>-1</v>
      </c>
      <c r="F34" s="457">
        <v>1</v>
      </c>
      <c r="G34" s="443">
        <v>0</v>
      </c>
      <c r="H34" s="443">
        <v>-1</v>
      </c>
      <c r="I34" s="443">
        <v>-1</v>
      </c>
      <c r="J34" s="457">
        <v>1</v>
      </c>
      <c r="K34" s="443">
        <v>-0.11000000000000001</v>
      </c>
      <c r="L34" s="457">
        <v>0.5</v>
      </c>
      <c r="M34" s="443">
        <v>0</v>
      </c>
      <c r="N34" s="443">
        <v>-12.099999999999998</v>
      </c>
      <c r="O34" s="443">
        <v>-9.9999999999999978E-2</v>
      </c>
    </row>
    <row r="35" spans="2:15" s="271" customFormat="1" x14ac:dyDescent="0.2">
      <c r="B35" s="458"/>
      <c r="C35" s="458"/>
      <c r="D35" s="459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</row>
    <row r="36" spans="2:15" s="271" customFormat="1" x14ac:dyDescent="0.2">
      <c r="B36" s="642" t="s">
        <v>82</v>
      </c>
      <c r="C36" s="643">
        <v>200</v>
      </c>
      <c r="D36" s="274" t="s">
        <v>330</v>
      </c>
      <c r="E36" s="457">
        <v>23</v>
      </c>
      <c r="F36" s="457">
        <v>43</v>
      </c>
      <c r="G36" s="457">
        <v>2.2999999999999998</v>
      </c>
      <c r="H36" s="457">
        <v>52</v>
      </c>
      <c r="I36" s="457">
        <v>10</v>
      </c>
      <c r="J36" s="457">
        <v>18</v>
      </c>
      <c r="K36" s="457">
        <v>0.53</v>
      </c>
      <c r="L36" s="457">
        <v>1</v>
      </c>
      <c r="M36" s="457">
        <v>8</v>
      </c>
      <c r="N36" s="457">
        <v>76.599999999999994</v>
      </c>
      <c r="O36" s="457">
        <v>6</v>
      </c>
    </row>
    <row r="37" spans="2:15" s="271" customFormat="1" x14ac:dyDescent="0.2">
      <c r="B37" s="642"/>
      <c r="C37" s="643"/>
      <c r="D37" s="274" t="s">
        <v>331</v>
      </c>
      <c r="E37" s="457">
        <v>7</v>
      </c>
      <c r="F37" s="457">
        <v>16</v>
      </c>
      <c r="G37" s="457">
        <v>1.5</v>
      </c>
      <c r="H37" s="457">
        <v>26</v>
      </c>
      <c r="I37" s="457">
        <v>6</v>
      </c>
      <c r="J37" s="457">
        <v>6</v>
      </c>
      <c r="K37" s="457">
        <v>0.17</v>
      </c>
      <c r="L37" s="457">
        <v>3.9</v>
      </c>
      <c r="M37" s="457">
        <v>7</v>
      </c>
      <c r="N37" s="457">
        <v>83.1</v>
      </c>
      <c r="O37" s="457">
        <v>3</v>
      </c>
    </row>
    <row r="38" spans="2:15" s="271" customFormat="1" x14ac:dyDescent="0.2">
      <c r="B38" s="642"/>
      <c r="C38" s="643"/>
      <c r="D38" s="274" t="s">
        <v>332</v>
      </c>
      <c r="E38" s="457">
        <v>3</v>
      </c>
      <c r="F38" s="457">
        <v>8</v>
      </c>
      <c r="G38" s="457">
        <v>0.60000000000000009</v>
      </c>
      <c r="H38" s="457">
        <v>14</v>
      </c>
      <c r="I38" s="457">
        <v>4</v>
      </c>
      <c r="J38" s="457">
        <v>5</v>
      </c>
      <c r="K38" s="457">
        <v>0.10999999999999999</v>
      </c>
      <c r="L38" s="457">
        <v>5.4</v>
      </c>
      <c r="M38" s="457">
        <v>7</v>
      </c>
      <c r="N38" s="457">
        <v>41.4</v>
      </c>
      <c r="O38" s="457">
        <v>1.2000000000000002</v>
      </c>
    </row>
    <row r="39" spans="2:15" s="271" customFormat="1" x14ac:dyDescent="0.2">
      <c r="B39" s="642"/>
      <c r="C39" s="643"/>
      <c r="D39" s="274" t="s">
        <v>333</v>
      </c>
      <c r="E39" s="457">
        <v>2</v>
      </c>
      <c r="F39" s="457">
        <v>5</v>
      </c>
      <c r="G39" s="457">
        <v>0.7</v>
      </c>
      <c r="H39" s="457">
        <v>11</v>
      </c>
      <c r="I39" s="457">
        <v>4</v>
      </c>
      <c r="J39" s="457">
        <v>19</v>
      </c>
      <c r="K39" s="457">
        <v>4.0000000000000008E-2</v>
      </c>
      <c r="L39" s="457">
        <v>4.1000000000000005</v>
      </c>
      <c r="M39" s="443">
        <v>0</v>
      </c>
      <c r="N39" s="457">
        <v>24.499999999999996</v>
      </c>
      <c r="O39" s="457">
        <v>0.60000000000000009</v>
      </c>
    </row>
    <row r="40" spans="2:15" s="271" customFormat="1" x14ac:dyDescent="0.2">
      <c r="B40" s="458"/>
      <c r="C40" s="458"/>
      <c r="D40" s="459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</row>
    <row r="42" spans="2:15" x14ac:dyDescent="0.2">
      <c r="B42" s="314" t="s">
        <v>478</v>
      </c>
    </row>
    <row r="43" spans="2:15" ht="15" customHeight="1" x14ac:dyDescent="0.2">
      <c r="B43" s="646" t="s">
        <v>99</v>
      </c>
      <c r="C43" s="611" t="s">
        <v>100</v>
      </c>
      <c r="D43" s="644" t="s">
        <v>0</v>
      </c>
      <c r="E43" s="209" t="s">
        <v>334</v>
      </c>
      <c r="F43" s="209" t="s">
        <v>335</v>
      </c>
      <c r="G43" s="209" t="s">
        <v>3</v>
      </c>
      <c r="H43" s="209" t="s">
        <v>4</v>
      </c>
      <c r="I43" s="209" t="s">
        <v>5</v>
      </c>
      <c r="J43" s="209" t="s">
        <v>6</v>
      </c>
      <c r="K43" s="209" t="s">
        <v>7</v>
      </c>
      <c r="L43" s="209" t="s">
        <v>8</v>
      </c>
      <c r="M43" s="209" t="s">
        <v>9</v>
      </c>
      <c r="N43" s="209" t="s">
        <v>10</v>
      </c>
      <c r="O43" s="209" t="s">
        <v>11</v>
      </c>
    </row>
    <row r="44" spans="2:15" x14ac:dyDescent="0.2">
      <c r="B44" s="647"/>
      <c r="C44" s="612"/>
      <c r="D44" s="645"/>
      <c r="E44" s="652" t="s">
        <v>24</v>
      </c>
      <c r="F44" s="652"/>
      <c r="G44" s="652"/>
      <c r="H44" s="652"/>
      <c r="I44" s="652"/>
      <c r="J44" s="652"/>
      <c r="K44" s="652"/>
      <c r="L44" s="652"/>
      <c r="M44" s="652"/>
      <c r="N44" s="652"/>
      <c r="O44" s="652"/>
    </row>
    <row r="45" spans="2:15" x14ac:dyDescent="0.2">
      <c r="B45" s="272" t="s">
        <v>70</v>
      </c>
      <c r="C45" s="273">
        <v>1.5</v>
      </c>
      <c r="D45" s="274" t="s">
        <v>339</v>
      </c>
      <c r="E45" s="447">
        <v>1</v>
      </c>
      <c r="F45" s="448">
        <v>1500</v>
      </c>
      <c r="G45" s="447">
        <v>260</v>
      </c>
      <c r="H45" s="447">
        <v>34.47</v>
      </c>
      <c r="I45" s="447">
        <v>70.84</v>
      </c>
      <c r="J45" s="447">
        <v>7.5</v>
      </c>
      <c r="K45" s="447">
        <v>7.0000000000000007E-2</v>
      </c>
      <c r="L45" s="447">
        <v>1.83</v>
      </c>
      <c r="M45" s="447">
        <v>10.57</v>
      </c>
      <c r="N45" s="447">
        <v>33.9</v>
      </c>
      <c r="O45" s="447">
        <v>1.24</v>
      </c>
    </row>
    <row r="46" spans="2:15" x14ac:dyDescent="0.2">
      <c r="B46" s="272" t="s">
        <v>72</v>
      </c>
      <c r="C46" s="273">
        <v>5</v>
      </c>
      <c r="D46" s="274" t="s">
        <v>339</v>
      </c>
      <c r="E46" s="447">
        <v>1.5</v>
      </c>
      <c r="F46" s="448">
        <v>4500</v>
      </c>
      <c r="G46" s="447">
        <v>62.56</v>
      </c>
      <c r="H46" s="447">
        <v>80.349999999999994</v>
      </c>
      <c r="I46" s="447">
        <v>32.5</v>
      </c>
      <c r="J46" s="447">
        <v>18</v>
      </c>
      <c r="K46" s="447">
        <v>0.06</v>
      </c>
      <c r="L46" s="447">
        <v>2.38</v>
      </c>
      <c r="M46" s="447">
        <v>10.08</v>
      </c>
      <c r="N46" s="447">
        <v>87.2</v>
      </c>
      <c r="O46" s="447">
        <v>1.29</v>
      </c>
    </row>
    <row r="47" spans="2:15" x14ac:dyDescent="0.2">
      <c r="B47" s="272" t="s">
        <v>74</v>
      </c>
      <c r="C47" s="273">
        <v>8</v>
      </c>
      <c r="D47" s="274" t="s">
        <v>339</v>
      </c>
      <c r="E47" s="447">
        <v>0</v>
      </c>
      <c r="F47" s="447">
        <v>0</v>
      </c>
      <c r="G47" s="447">
        <v>0</v>
      </c>
      <c r="H47" s="447">
        <v>10.02</v>
      </c>
      <c r="I47" s="447">
        <v>6.08</v>
      </c>
      <c r="J47" s="447">
        <v>0</v>
      </c>
      <c r="K47" s="447">
        <v>0.17</v>
      </c>
      <c r="L47" s="447">
        <v>0.5</v>
      </c>
      <c r="M47" s="447">
        <v>16</v>
      </c>
      <c r="N47" s="447">
        <v>10.9</v>
      </c>
      <c r="O47" s="447">
        <v>0</v>
      </c>
    </row>
    <row r="48" spans="2:15" x14ac:dyDescent="0.2">
      <c r="B48" s="272" t="s">
        <v>76</v>
      </c>
      <c r="C48" s="273">
        <v>14</v>
      </c>
      <c r="D48" s="274" t="s">
        <v>339</v>
      </c>
      <c r="E48" s="447">
        <v>2</v>
      </c>
      <c r="F48" s="447">
        <v>1500</v>
      </c>
      <c r="G48" s="447">
        <v>117.29</v>
      </c>
      <c r="H48" s="447">
        <v>40.08</v>
      </c>
      <c r="I48" s="447">
        <v>24.31</v>
      </c>
      <c r="J48" s="447">
        <v>5</v>
      </c>
      <c r="K48" s="447">
        <v>0.28000000000000003</v>
      </c>
      <c r="L48" s="447">
        <v>0</v>
      </c>
      <c r="M48" s="447">
        <v>6.5</v>
      </c>
      <c r="N48" s="447">
        <v>8.3000000000000007</v>
      </c>
      <c r="O48" s="447">
        <v>1.5</v>
      </c>
    </row>
    <row r="49" spans="2:15" x14ac:dyDescent="0.2">
      <c r="B49" s="272" t="s">
        <v>78</v>
      </c>
      <c r="C49" s="273">
        <v>20</v>
      </c>
      <c r="D49" s="274" t="s">
        <v>339</v>
      </c>
      <c r="E49" s="447">
        <v>23.5</v>
      </c>
      <c r="F49" s="447">
        <v>22500</v>
      </c>
      <c r="G49" s="447">
        <v>205.27</v>
      </c>
      <c r="H49" s="447">
        <v>1422.77</v>
      </c>
      <c r="I49" s="447">
        <v>443.57</v>
      </c>
      <c r="J49" s="447">
        <v>7.5</v>
      </c>
      <c r="K49" s="447">
        <v>0.44</v>
      </c>
      <c r="L49" s="447">
        <v>30.3</v>
      </c>
      <c r="M49" s="447">
        <v>15</v>
      </c>
      <c r="N49" s="447">
        <v>162.65</v>
      </c>
      <c r="O49" s="447">
        <v>23.1</v>
      </c>
    </row>
    <row r="50" spans="2:15" x14ac:dyDescent="0.2">
      <c r="B50" s="272" t="s">
        <v>80</v>
      </c>
      <c r="C50" s="273">
        <v>26</v>
      </c>
      <c r="D50" s="274" t="s">
        <v>339</v>
      </c>
      <c r="E50" s="449">
        <v>7</v>
      </c>
      <c r="F50" s="449">
        <v>8500</v>
      </c>
      <c r="G50" s="449">
        <v>78.2</v>
      </c>
      <c r="H50" s="449">
        <v>220.43</v>
      </c>
      <c r="I50" s="449">
        <v>97.22</v>
      </c>
      <c r="J50" s="449">
        <v>11.5</v>
      </c>
      <c r="K50" s="449">
        <v>0.46</v>
      </c>
      <c r="L50" s="449">
        <v>1</v>
      </c>
      <c r="M50" s="449">
        <v>22</v>
      </c>
      <c r="N50" s="449">
        <v>0</v>
      </c>
      <c r="O50" s="449">
        <v>0.9</v>
      </c>
    </row>
    <row r="51" spans="2:15" x14ac:dyDescent="0.2">
      <c r="B51" s="277" t="s">
        <v>82</v>
      </c>
      <c r="C51" s="278">
        <v>200</v>
      </c>
      <c r="D51" s="313" t="s">
        <v>339</v>
      </c>
      <c r="E51" s="450">
        <v>32</v>
      </c>
      <c r="F51" s="450">
        <v>36000</v>
      </c>
      <c r="G51" s="450">
        <v>234.59</v>
      </c>
      <c r="H51" s="450">
        <v>2304.4899999999998</v>
      </c>
      <c r="I51" s="450">
        <v>364.58</v>
      </c>
      <c r="J51" s="450">
        <v>66</v>
      </c>
      <c r="K51" s="450">
        <v>0.82</v>
      </c>
      <c r="L51" s="450">
        <v>25.35</v>
      </c>
      <c r="M51" s="450">
        <v>28.5</v>
      </c>
      <c r="N51" s="450">
        <v>294.75</v>
      </c>
      <c r="O51" s="450">
        <v>11.1</v>
      </c>
    </row>
    <row r="52" spans="2:15" x14ac:dyDescent="0.2">
      <c r="B52" s="117" t="s">
        <v>409</v>
      </c>
    </row>
    <row r="53" spans="2:15" x14ac:dyDescent="0.2">
      <c r="B53" s="316" t="s">
        <v>70</v>
      </c>
      <c r="C53" s="317">
        <v>1.5</v>
      </c>
      <c r="D53" s="318" t="s">
        <v>340</v>
      </c>
      <c r="E53" s="414">
        <f>(E58*$C$53)/$C$58</f>
        <v>63461538461.53846</v>
      </c>
      <c r="F53" s="414">
        <f>(F58*$C$53)/$C$58</f>
        <v>19615384615.384617</v>
      </c>
      <c r="G53" s="414">
        <f t="shared" ref="G53:O53" si="0">(G58*$C$53)/$C$58</f>
        <v>31730769230.76923</v>
      </c>
      <c r="H53" s="414">
        <f t="shared" si="0"/>
        <v>9807692307.6923084</v>
      </c>
      <c r="I53" s="414">
        <f t="shared" si="0"/>
        <v>11538461538.461538</v>
      </c>
      <c r="J53" s="414">
        <f t="shared" si="0"/>
        <v>282692307692.30768</v>
      </c>
      <c r="K53" s="414">
        <f t="shared" si="0"/>
        <v>34615384615.384613</v>
      </c>
      <c r="L53" s="414">
        <f t="shared" si="0"/>
        <v>5192307692.3076925</v>
      </c>
      <c r="M53" s="414">
        <f t="shared" si="0"/>
        <v>8076923076.9230766</v>
      </c>
      <c r="N53" s="414">
        <f t="shared" si="0"/>
        <v>4500000000</v>
      </c>
      <c r="O53" s="414">
        <f t="shared" si="0"/>
        <v>7500000000</v>
      </c>
    </row>
    <row r="54" spans="2:15" x14ac:dyDescent="0.2">
      <c r="B54" s="272" t="s">
        <v>72</v>
      </c>
      <c r="C54" s="273">
        <v>5</v>
      </c>
      <c r="D54" s="274" t="s">
        <v>340</v>
      </c>
      <c r="E54" s="415">
        <f>(E58*$C$54)/$C$58</f>
        <v>211538461538.46155</v>
      </c>
      <c r="F54" s="415">
        <f>(F58*$C$54)/$C$58</f>
        <v>65384615384.615387</v>
      </c>
      <c r="G54" s="415">
        <f t="shared" ref="G54:O54" si="1">(G58*$C$54)/$C$58</f>
        <v>105769230769.23077</v>
      </c>
      <c r="H54" s="415">
        <f t="shared" si="1"/>
        <v>32692307692.307693</v>
      </c>
      <c r="I54" s="415">
        <f t="shared" si="1"/>
        <v>38461538461.53846</v>
      </c>
      <c r="J54" s="415">
        <f t="shared" si="1"/>
        <v>942307692307.69226</v>
      </c>
      <c r="K54" s="415">
        <f t="shared" si="1"/>
        <v>115384615384.61539</v>
      </c>
      <c r="L54" s="415">
        <f t="shared" si="1"/>
        <v>17307692307.692307</v>
      </c>
      <c r="M54" s="415">
        <f t="shared" si="1"/>
        <v>26923076923.076923</v>
      </c>
      <c r="N54" s="415">
        <f t="shared" si="1"/>
        <v>15000000000</v>
      </c>
      <c r="O54" s="415">
        <f t="shared" si="1"/>
        <v>25000000000</v>
      </c>
    </row>
    <row r="55" spans="2:15" x14ac:dyDescent="0.2">
      <c r="B55" s="272" t="s">
        <v>74</v>
      </c>
      <c r="C55" s="273">
        <v>8</v>
      </c>
      <c r="D55" s="274" t="s">
        <v>340</v>
      </c>
      <c r="E55" s="415">
        <f>(E58*$C$55)/$C$58</f>
        <v>338461538461.53845</v>
      </c>
      <c r="F55" s="415">
        <f>(F58*$C$55)/$C$58</f>
        <v>104615384615.38461</v>
      </c>
      <c r="G55" s="415">
        <f t="shared" ref="G55:O55" si="2">(G58*$C$55)/$C$58</f>
        <v>169230769230.76923</v>
      </c>
      <c r="H55" s="415">
        <f t="shared" si="2"/>
        <v>52307692307.692307</v>
      </c>
      <c r="I55" s="415">
        <f t="shared" si="2"/>
        <v>61538461538.46154</v>
      </c>
      <c r="J55" s="415">
        <f t="shared" si="2"/>
        <v>1507692307692.3076</v>
      </c>
      <c r="K55" s="415">
        <f t="shared" si="2"/>
        <v>184615384615.38461</v>
      </c>
      <c r="L55" s="415">
        <f t="shared" si="2"/>
        <v>27692307692.307693</v>
      </c>
      <c r="M55" s="415">
        <f t="shared" si="2"/>
        <v>43076923076.92308</v>
      </c>
      <c r="N55" s="415">
        <f t="shared" si="2"/>
        <v>24000000000</v>
      </c>
      <c r="O55" s="415">
        <f t="shared" si="2"/>
        <v>40000000000</v>
      </c>
    </row>
    <row r="56" spans="2:15" x14ac:dyDescent="0.2">
      <c r="B56" s="272" t="s">
        <v>76</v>
      </c>
      <c r="C56" s="273">
        <v>14</v>
      </c>
      <c r="D56" s="274" t="s">
        <v>340</v>
      </c>
      <c r="E56" s="415">
        <f>(E58*$C$56)/$C$58</f>
        <v>592307692307.69226</v>
      </c>
      <c r="F56" s="415">
        <f>(F58*$C$56)/$C$58</f>
        <v>183076923076.92307</v>
      </c>
      <c r="G56" s="415">
        <f t="shared" ref="G56:O56" si="3">(G58*$C$56)/$C$58</f>
        <v>296153846153.84613</v>
      </c>
      <c r="H56" s="415">
        <f t="shared" si="3"/>
        <v>91538461538.461533</v>
      </c>
      <c r="I56" s="415">
        <f t="shared" si="3"/>
        <v>107692307692.30769</v>
      </c>
      <c r="J56" s="415">
        <f t="shared" si="3"/>
        <v>2638461538461.5386</v>
      </c>
      <c r="K56" s="415">
        <f t="shared" si="3"/>
        <v>323076923076.9231</v>
      </c>
      <c r="L56" s="415">
        <f t="shared" si="3"/>
        <v>48461538461.53846</v>
      </c>
      <c r="M56" s="415">
        <f t="shared" si="3"/>
        <v>75384615384.615387</v>
      </c>
      <c r="N56" s="415">
        <f t="shared" si="3"/>
        <v>42000000000</v>
      </c>
      <c r="O56" s="415">
        <f t="shared" si="3"/>
        <v>70000000000</v>
      </c>
    </row>
    <row r="57" spans="2:15" x14ac:dyDescent="0.2">
      <c r="B57" s="272" t="s">
        <v>78</v>
      </c>
      <c r="C57" s="273">
        <v>20</v>
      </c>
      <c r="D57" s="274" t="s">
        <v>340</v>
      </c>
      <c r="E57" s="415">
        <f>(E58*$C$57)/$C$58</f>
        <v>846153846153.84619</v>
      </c>
      <c r="F57" s="415">
        <f>(F58*$C$57)/$C$58</f>
        <v>261538461538.46155</v>
      </c>
      <c r="G57" s="415">
        <f t="shared" ref="G57:O57" si="4">(G58*$C$57)/$C$58</f>
        <v>423076923076.9231</v>
      </c>
      <c r="H57" s="415">
        <f t="shared" si="4"/>
        <v>130769230769.23077</v>
      </c>
      <c r="I57" s="415">
        <f t="shared" si="4"/>
        <v>153846153846.15384</v>
      </c>
      <c r="J57" s="415">
        <f>(J58*$C$57)/$C$58</f>
        <v>3769230769230.769</v>
      </c>
      <c r="K57" s="415">
        <f t="shared" si="4"/>
        <v>461538461538.46155</v>
      </c>
      <c r="L57" s="415">
        <f t="shared" si="4"/>
        <v>69230769230.769226</v>
      </c>
      <c r="M57" s="415">
        <f t="shared" si="4"/>
        <v>107692307692.30769</v>
      </c>
      <c r="N57" s="415">
        <f t="shared" si="4"/>
        <v>60000000000</v>
      </c>
      <c r="O57" s="415">
        <f t="shared" si="4"/>
        <v>100000000000</v>
      </c>
    </row>
    <row r="58" spans="2:15" x14ac:dyDescent="0.2">
      <c r="B58" s="272" t="s">
        <v>80</v>
      </c>
      <c r="C58" s="273">
        <v>26</v>
      </c>
      <c r="D58" s="274" t="s">
        <v>340</v>
      </c>
      <c r="E58" s="353">
        <v>1100000000000</v>
      </c>
      <c r="F58" s="353">
        <v>340000000000</v>
      </c>
      <c r="G58" s="353">
        <v>550000000000</v>
      </c>
      <c r="H58" s="353">
        <v>170000000000</v>
      </c>
      <c r="I58" s="353">
        <v>200000000000</v>
      </c>
      <c r="J58" s="353">
        <v>4900000000000</v>
      </c>
      <c r="K58" s="353">
        <v>600000000000</v>
      </c>
      <c r="L58" s="353">
        <v>90000000000</v>
      </c>
      <c r="M58" s="353">
        <v>140000000000</v>
      </c>
      <c r="N58" s="353">
        <v>78000000000</v>
      </c>
      <c r="O58" s="353">
        <v>130000000000</v>
      </c>
    </row>
    <row r="59" spans="2:15" x14ac:dyDescent="0.2">
      <c r="B59" s="277" t="s">
        <v>82</v>
      </c>
      <c r="C59" s="278">
        <v>200</v>
      </c>
      <c r="D59" s="313" t="s">
        <v>340</v>
      </c>
      <c r="E59" s="354">
        <v>13000000000000</v>
      </c>
      <c r="F59" s="354">
        <v>3600000000000</v>
      </c>
      <c r="G59" s="354">
        <v>5000000000000</v>
      </c>
      <c r="H59" s="354">
        <v>5100000000000</v>
      </c>
      <c r="I59" s="354">
        <v>1900000000000</v>
      </c>
      <c r="J59" s="354">
        <v>50000000000000</v>
      </c>
      <c r="K59" s="354">
        <v>7100000000000</v>
      </c>
      <c r="L59" s="354">
        <v>2600000000000</v>
      </c>
      <c r="M59" s="354">
        <v>8300000000000</v>
      </c>
      <c r="N59" s="354">
        <v>2900000000000</v>
      </c>
      <c r="O59" s="354">
        <v>3800000000000</v>
      </c>
    </row>
    <row r="60" spans="2:15" x14ac:dyDescent="0.2">
      <c r="B60" s="117" t="s">
        <v>343</v>
      </c>
      <c r="D60" s="427" t="s">
        <v>389</v>
      </c>
      <c r="F60" s="350"/>
    </row>
    <row r="61" spans="2:15" x14ac:dyDescent="0.2">
      <c r="B61" s="316" t="s">
        <v>70</v>
      </c>
      <c r="C61" s="317">
        <v>1.5</v>
      </c>
      <c r="D61" s="416">
        <f t="shared" ref="D61:D66" si="5">SUM(E61:O61)</f>
        <v>12.506465034965037</v>
      </c>
      <c r="E61" s="444">
        <f>(E45*E53)/'EmUSD - EmR$'!$C$8</f>
        <v>1.9230769230769232E-2</v>
      </c>
      <c r="F61" s="444">
        <f>(F45*F53)/'EmUSD - EmR$'!$C$8</f>
        <v>8.9160839160839167</v>
      </c>
      <c r="G61" s="444">
        <f>(G45*G53)/'EmUSD - EmR$'!$C$8</f>
        <v>2.5</v>
      </c>
      <c r="H61" s="444">
        <f>(H45*H53)/'EmUSD - EmR$'!$C$8</f>
        <v>0.10244580419580421</v>
      </c>
      <c r="I61" s="444">
        <f>(I45*I53)/'EmUSD - EmR$'!$C$8</f>
        <v>0.24769230769230768</v>
      </c>
      <c r="J61" s="444">
        <f>(J45*J53)/'EmUSD - EmR$'!$C$8</f>
        <v>0.6424825174825175</v>
      </c>
      <c r="K61" s="444">
        <f>(K45*K53)/'EmUSD - EmR$'!$C$8</f>
        <v>7.3426573426573437E-4</v>
      </c>
      <c r="L61" s="444">
        <f>(L45*L53)/'EmUSD - EmR$'!$C$8</f>
        <v>2.8793706293706299E-3</v>
      </c>
      <c r="M61" s="444">
        <f>(M45*M53)/'EmUSD - EmR$'!$C$8</f>
        <v>2.587062937062937E-2</v>
      </c>
      <c r="N61" s="444">
        <f>(N45*N53)/'EmUSD - EmR$'!$C$8</f>
        <v>4.6227272727272728E-2</v>
      </c>
      <c r="O61" s="444">
        <f>(O45*O53)/'EmUSD - EmR$'!$C$8</f>
        <v>2.8181818181818182E-3</v>
      </c>
    </row>
    <row r="62" spans="2:15" x14ac:dyDescent="0.2">
      <c r="B62" s="272" t="s">
        <v>72</v>
      </c>
      <c r="C62" s="273">
        <v>5</v>
      </c>
      <c r="D62" s="417">
        <f t="shared" si="5"/>
        <v>98.07973193473191</v>
      </c>
      <c r="E62" s="445">
        <f>(E46*E54)/'EmUSD - EmR$'!$C$8</f>
        <v>9.6153846153846159E-2</v>
      </c>
      <c r="F62" s="445">
        <f>(F46*F54)/'EmUSD - EmR$'!$C$8</f>
        <v>89.16083916083916</v>
      </c>
      <c r="G62" s="445">
        <f>(G46*G54)/'EmUSD - EmR$'!$C$8</f>
        <v>2.0051282051282051</v>
      </c>
      <c r="H62" s="445">
        <f>(H46*H54)/'EmUSD - EmR$'!$C$8</f>
        <v>0.79600815850815843</v>
      </c>
      <c r="I62" s="445">
        <f>(I46*I54)/'EmUSD - EmR$'!$C$8</f>
        <v>0.37878787878787878</v>
      </c>
      <c r="J62" s="445">
        <f>(J46*J54)/'EmUSD - EmR$'!$C$8</f>
        <v>5.13986013986014</v>
      </c>
      <c r="K62" s="445">
        <f>(K46*K54)/'EmUSD - EmR$'!$C$8</f>
        <v>2.0979020979020979E-3</v>
      </c>
      <c r="L62" s="445">
        <f>(L46*L54)/'EmUSD - EmR$'!$C$8</f>
        <v>1.2482517482517481E-2</v>
      </c>
      <c r="M62" s="445">
        <f>(M46*M54)/'EmUSD - EmR$'!$C$8</f>
        <v>8.2237762237762232E-2</v>
      </c>
      <c r="N62" s="445">
        <f>(N46*N54)/'EmUSD - EmR$'!$C$8</f>
        <v>0.39636363636363636</v>
      </c>
      <c r="O62" s="445">
        <f>(O46*O54)/'EmUSD - EmR$'!$C$8</f>
        <v>9.7727272727272732E-3</v>
      </c>
    </row>
    <row r="63" spans="2:15" x14ac:dyDescent="0.2">
      <c r="B63" s="272" t="s">
        <v>74</v>
      </c>
      <c r="C63" s="273">
        <v>8</v>
      </c>
      <c r="D63" s="417">
        <f t="shared" si="5"/>
        <v>0.57404195804195801</v>
      </c>
      <c r="E63" s="445">
        <f>(E47*E55)/'EmUSD - EmR$'!$C$8</f>
        <v>0</v>
      </c>
      <c r="F63" s="445">
        <f>(F47*F55)/'EmUSD - EmR$'!$C$8</f>
        <v>0</v>
      </c>
      <c r="G63" s="445">
        <f>(G47*G55)/'EmUSD - EmR$'!$C$8</f>
        <v>0</v>
      </c>
      <c r="H63" s="445">
        <f>(H47*H55)/'EmUSD - EmR$'!$C$8</f>
        <v>0.15882517482517483</v>
      </c>
      <c r="I63" s="445">
        <f>(I47*I55)/'EmUSD - EmR$'!$C$8</f>
        <v>0.11337995337995339</v>
      </c>
      <c r="J63" s="445">
        <f>(J47*J55)/'EmUSD - EmR$'!$C$8</f>
        <v>0</v>
      </c>
      <c r="K63" s="445">
        <f>(K47*K55)/'EmUSD - EmR$'!$C$8</f>
        <v>9.5104895104895105E-3</v>
      </c>
      <c r="L63" s="445">
        <f>(L47*L55)/'EmUSD - EmR$'!$C$8</f>
        <v>4.1958041958041958E-3</v>
      </c>
      <c r="M63" s="445">
        <f>(M47*M55)/'EmUSD - EmR$'!$C$8</f>
        <v>0.20885780885780889</v>
      </c>
      <c r="N63" s="445">
        <f>(N47*N55)/'EmUSD - EmR$'!$C$8</f>
        <v>7.9272727272727272E-2</v>
      </c>
      <c r="O63" s="445">
        <f>(O47*O55)/'EmUSD - EmR$'!$C$8</f>
        <v>0</v>
      </c>
    </row>
    <row r="64" spans="2:15" x14ac:dyDescent="0.2">
      <c r="B64" s="272" t="s">
        <v>76</v>
      </c>
      <c r="C64" s="273">
        <v>14</v>
      </c>
      <c r="D64" s="417">
        <f t="shared" si="5"/>
        <v>100.31791375291375</v>
      </c>
      <c r="E64" s="445">
        <f>(E48*E56)/'EmUSD - EmR$'!$C$8</f>
        <v>0.35897435897435892</v>
      </c>
      <c r="F64" s="445">
        <f>(F48*F56)/'EmUSD - EmR$'!$C$8</f>
        <v>83.216783216783213</v>
      </c>
      <c r="G64" s="445">
        <f>(G48*G56)/'EmUSD - EmR$'!$C$8</f>
        <v>10.52602564102564</v>
      </c>
      <c r="H64" s="445">
        <f>(H48*H56)/'EmUSD - EmR$'!$C$8</f>
        <v>1.1117762237762236</v>
      </c>
      <c r="I64" s="445">
        <f>(I48*I56)/'EmUSD - EmR$'!$C$8</f>
        <v>0.79333333333333333</v>
      </c>
      <c r="J64" s="445">
        <f>(J48*J56)/'EmUSD - EmR$'!$C$8</f>
        <v>3.9976689976689981</v>
      </c>
      <c r="K64" s="445">
        <f>(K48*K56)/'EmUSD - EmR$'!$C$8</f>
        <v>2.7412587412587418E-2</v>
      </c>
      <c r="L64" s="445">
        <f>(L48*L56)/'EmUSD - EmR$'!$C$8</f>
        <v>0</v>
      </c>
      <c r="M64" s="445">
        <f>(M48*M56)/'EmUSD - EmR$'!$C$8</f>
        <v>0.1484848484848485</v>
      </c>
      <c r="N64" s="445">
        <f>(N48*N56)/'EmUSD - EmR$'!$C$8</f>
        <v>0.10563636363636364</v>
      </c>
      <c r="O64" s="445">
        <f>(O48*O56)/'EmUSD - EmR$'!$C$8</f>
        <v>3.1818181818181815E-2</v>
      </c>
    </row>
    <row r="65" spans="2:22" x14ac:dyDescent="0.2">
      <c r="B65" s="272" t="s">
        <v>78</v>
      </c>
      <c r="C65" s="273">
        <v>20</v>
      </c>
      <c r="D65" s="417">
        <f t="shared" si="5"/>
        <v>1906.0289277389279</v>
      </c>
      <c r="E65" s="445">
        <f>(E49*E57)/'EmUSD - EmR$'!$C$8</f>
        <v>6.0256410256410264</v>
      </c>
      <c r="F65" s="445">
        <f>(F49*F57)/'EmUSD - EmR$'!$C$8</f>
        <v>1783.2167832167834</v>
      </c>
      <c r="G65" s="445">
        <f>(G49*G57)/'EmUSD - EmR$'!$C$8</f>
        <v>26.31666666666667</v>
      </c>
      <c r="H65" s="445">
        <f>(H49*H57)/'EmUSD - EmR$'!$C$8</f>
        <v>56.380163170163172</v>
      </c>
      <c r="I65" s="445">
        <f>(I49*I57)/'EmUSD - EmR$'!$C$8</f>
        <v>20.679254079254079</v>
      </c>
      <c r="J65" s="445">
        <f>(J49*J57)/'EmUSD - EmR$'!$C$8</f>
        <v>8.5664335664335667</v>
      </c>
      <c r="K65" s="445">
        <f>(K49*K57)/'EmUSD - EmR$'!$C$8</f>
        <v>6.1538461538461542E-2</v>
      </c>
      <c r="L65" s="445">
        <f>(L49*L57)/'EmUSD - EmR$'!$C$8</f>
        <v>0.63566433566433567</v>
      </c>
      <c r="M65" s="445">
        <f>(M49*M57)/'EmUSD - EmR$'!$C$8</f>
        <v>0.48951048951048953</v>
      </c>
      <c r="N65" s="445">
        <f>(N49*N57)/'EmUSD - EmR$'!$C$8</f>
        <v>2.9572727272727271</v>
      </c>
      <c r="O65" s="445">
        <f>(O49*O57)/'EmUSD - EmR$'!$C$8</f>
        <v>0.7</v>
      </c>
    </row>
    <row r="66" spans="2:22" x14ac:dyDescent="0.2">
      <c r="B66" s="272" t="s">
        <v>80</v>
      </c>
      <c r="C66" s="273">
        <v>26</v>
      </c>
      <c r="D66" s="417">
        <f t="shared" si="5"/>
        <v>926.52730303030296</v>
      </c>
      <c r="E66" s="445">
        <f>(E50*E58)/'EmUSD - EmR$'!$C$8</f>
        <v>2.3333333333333335</v>
      </c>
      <c r="F66" s="445">
        <f>(F50*F58)/'EmUSD - EmR$'!$C$8</f>
        <v>875.75757575757575</v>
      </c>
      <c r="G66" s="445">
        <f>(G50*G58)/'EmUSD - EmR$'!$C$8</f>
        <v>13.033333333333333</v>
      </c>
      <c r="H66" s="445">
        <f>(H50*H58)/'EmUSD - EmR$'!$C$8</f>
        <v>11.355484848484849</v>
      </c>
      <c r="I66" s="445">
        <f>(I50*I58)/'EmUSD - EmR$'!$C$8</f>
        <v>5.8921212121212125</v>
      </c>
      <c r="J66" s="445">
        <f>(J50*J58)/'EmUSD - EmR$'!$C$8</f>
        <v>17.075757575757574</v>
      </c>
      <c r="K66" s="445">
        <f>(K50*K58)/'EmUSD - EmR$'!$C$8</f>
        <v>8.3636363636363634E-2</v>
      </c>
      <c r="L66" s="445">
        <f>(L50*L58)/'EmUSD - EmR$'!$C$8</f>
        <v>2.7272727272727271E-2</v>
      </c>
      <c r="M66" s="445">
        <f>(M50*M58)/'EmUSD - EmR$'!$C$8</f>
        <v>0.93333333333333335</v>
      </c>
      <c r="N66" s="445">
        <f>(N50*N58)/'EmUSD - EmR$'!$C$8</f>
        <v>0</v>
      </c>
      <c r="O66" s="445">
        <f>(O50*O58)/'EmUSD - EmR$'!$C$8</f>
        <v>3.5454545454545454E-2</v>
      </c>
    </row>
    <row r="67" spans="2:22" x14ac:dyDescent="0.2">
      <c r="B67" s="277" t="s">
        <v>82</v>
      </c>
      <c r="C67" s="278">
        <v>200</v>
      </c>
      <c r="D67" s="418">
        <f>(SUM(E67:O67))/10</f>
        <v>4489.084484848484</v>
      </c>
      <c r="E67" s="446">
        <f>(E51*E59)/'EmUSD - EmR$'!$C$8</f>
        <v>126.06060606060606</v>
      </c>
      <c r="F67" s="446">
        <f>(F51*F59)/'EmUSD - EmR$'!$C$8</f>
        <v>39272.727272727272</v>
      </c>
      <c r="G67" s="446">
        <f>(G51*G59)/'EmUSD - EmR$'!$C$8</f>
        <v>355.43939393939394</v>
      </c>
      <c r="H67" s="446">
        <f>(H51*H59)/'EmUSD - EmR$'!$C$8</f>
        <v>3561.4845454545448</v>
      </c>
      <c r="I67" s="446">
        <f>(I51*I59)/'EmUSD - EmR$'!$C$8</f>
        <v>209.90969696969697</v>
      </c>
      <c r="J67" s="446">
        <f>(J51*J59)/'EmUSD - EmR$'!$C$8</f>
        <v>1000</v>
      </c>
      <c r="K67" s="446">
        <f>(K51*K59)/'EmUSD - EmR$'!$C$8</f>
        <v>1.7642424242424242</v>
      </c>
      <c r="L67" s="446">
        <f>(L51*L59)/'EmUSD - EmR$'!$C$8</f>
        <v>19.972727272727273</v>
      </c>
      <c r="M67" s="446">
        <f>(M51*M59)/'EmUSD - EmR$'!$C$8</f>
        <v>71.681818181818187</v>
      </c>
      <c r="N67" s="446">
        <f>(N51*N59)/'EmUSD - EmR$'!$C$8</f>
        <v>259.02272727272725</v>
      </c>
      <c r="O67" s="446">
        <f>(O51*O59)/'EmUSD - EmR$'!$C$8</f>
        <v>12.781818181818181</v>
      </c>
    </row>
    <row r="69" spans="2:22" x14ac:dyDescent="0.2">
      <c r="B69" s="314" t="s">
        <v>479</v>
      </c>
    </row>
    <row r="70" spans="2:22" ht="25.5" x14ac:dyDescent="0.2">
      <c r="B70" s="115" t="s">
        <v>99</v>
      </c>
      <c r="C70" s="479" t="s">
        <v>100</v>
      </c>
      <c r="D70" s="320" t="s">
        <v>380</v>
      </c>
      <c r="E70" s="320" t="s">
        <v>340</v>
      </c>
      <c r="F70" s="191" t="s">
        <v>389</v>
      </c>
      <c r="G70" s="320" t="s">
        <v>429</v>
      </c>
      <c r="U70" s="543">
        <f>SUM(D61,F71,F83,G95)</f>
        <v>153.97116044977213</v>
      </c>
      <c r="V70" s="543">
        <f>SUM(D61,F71,G95)</f>
        <v>153.97116044977213</v>
      </c>
    </row>
    <row r="71" spans="2:22" x14ac:dyDescent="0.2">
      <c r="B71" s="316" t="s">
        <v>70</v>
      </c>
      <c r="C71" s="317">
        <v>1.5</v>
      </c>
      <c r="D71" s="419">
        <f>'6  CO2'!G5</f>
        <v>25081.025997267854</v>
      </c>
      <c r="E71" s="423">
        <f>($E$76*C71)/$C$76</f>
        <v>20192307692.307693</v>
      </c>
      <c r="F71" s="416">
        <f>(D71*E71)/'EmUSD - EmR$'!$C$8</f>
        <v>153.46781641684876</v>
      </c>
      <c r="G71" s="503">
        <f>D71*$B$79</f>
        <v>1799158305923.853</v>
      </c>
      <c r="U71" s="543">
        <f t="shared" ref="U71:U75" si="6">SUM(D62,F72,F84,G96)</f>
        <v>30745.743557581955</v>
      </c>
      <c r="V71" s="543">
        <f t="shared" ref="V71:V76" si="7">SUM(D62,F72,G96)</f>
        <v>806.34961818801526</v>
      </c>
    </row>
    <row r="72" spans="2:22" x14ac:dyDescent="0.2">
      <c r="B72" s="272" t="s">
        <v>72</v>
      </c>
      <c r="C72" s="273">
        <v>5</v>
      </c>
      <c r="D72" s="420">
        <f>'6  CO2'!G7</f>
        <v>27318.845952881114</v>
      </c>
      <c r="E72" s="423">
        <f>($E$76*C72)/$C$76</f>
        <v>67307692307.692307</v>
      </c>
      <c r="F72" s="417">
        <f>(D72*E72)/'EmUSD - EmR$'!$C$8</f>
        <v>557.20256896902038</v>
      </c>
      <c r="G72" s="504">
        <f t="shared" ref="G72:G76" si="8">D72*$B$79</f>
        <v>1959685724568.6218</v>
      </c>
      <c r="U72" s="543">
        <f t="shared" si="6"/>
        <v>75802.955521471988</v>
      </c>
      <c r="V72" s="543">
        <f t="shared" si="7"/>
        <v>954.47067298713159</v>
      </c>
    </row>
    <row r="73" spans="2:22" x14ac:dyDescent="0.2">
      <c r="B73" s="272" t="s">
        <v>74</v>
      </c>
      <c r="C73" s="273">
        <v>8</v>
      </c>
      <c r="D73" s="421">
        <f>'6  CO2'!G9</f>
        <v>21346.840111802143</v>
      </c>
      <c r="E73" s="423">
        <f>($E$76*C73)/$C$76</f>
        <v>107692307692.30769</v>
      </c>
      <c r="F73" s="417">
        <f>(D73*E73)/'EmUSD - EmR$'!$C$8</f>
        <v>696.63347684202802</v>
      </c>
      <c r="G73" s="504">
        <f t="shared" si="8"/>
        <v>1531290813085.5974</v>
      </c>
      <c r="U73" s="543">
        <f t="shared" si="6"/>
        <v>168312.38245381534</v>
      </c>
      <c r="V73" s="543">
        <f t="shared" si="7"/>
        <v>3645.7157871486797</v>
      </c>
    </row>
    <row r="74" spans="2:22" x14ac:dyDescent="0.2">
      <c r="B74" s="272" t="s">
        <v>76</v>
      </c>
      <c r="C74" s="273">
        <v>14</v>
      </c>
      <c r="D74" s="421">
        <f>'6  CO2'!G11</f>
        <v>43710.769062493469</v>
      </c>
      <c r="E74" s="423">
        <f>($E$76*C74)/$C$76</f>
        <v>188461538461.53845</v>
      </c>
      <c r="F74" s="417">
        <f>(D74*E74)/'EmUSD - EmR$'!$C$8</f>
        <v>2496.3026620771329</v>
      </c>
      <c r="G74" s="504">
        <f t="shared" si="8"/>
        <v>3135541314205.8574</v>
      </c>
      <c r="U74" s="543">
        <f t="shared" si="6"/>
        <v>189977.15956003987</v>
      </c>
      <c r="V74" s="543">
        <f t="shared" si="7"/>
        <v>10340.795923676211</v>
      </c>
    </row>
    <row r="75" spans="2:22" x14ac:dyDescent="0.2">
      <c r="B75" s="272" t="s">
        <v>78</v>
      </c>
      <c r="C75" s="273">
        <v>20</v>
      </c>
      <c r="D75" s="421">
        <f>'6  CO2'!G13</f>
        <v>75006.342941167168</v>
      </c>
      <c r="E75" s="423">
        <f>($E$76*C75)/$C$76</f>
        <v>269230769230.76923</v>
      </c>
      <c r="F75" s="417">
        <f>(D75*E75)/'EmUSD - EmR$'!$C$8</f>
        <v>6119.3986082537322</v>
      </c>
      <c r="G75" s="504">
        <f t="shared" si="8"/>
        <v>5380493003526.8164</v>
      </c>
      <c r="U75" s="543">
        <f t="shared" si="6"/>
        <v>328283.16183236963</v>
      </c>
      <c r="V75" s="543">
        <f t="shared" si="7"/>
        <v>13919.525468733304</v>
      </c>
    </row>
    <row r="76" spans="2:22" x14ac:dyDescent="0.2">
      <c r="B76" s="272" t="s">
        <v>80</v>
      </c>
      <c r="C76" s="273">
        <v>26</v>
      </c>
      <c r="D76" s="421">
        <f>'6  CO2'!G15</f>
        <v>76049.070208090794</v>
      </c>
      <c r="E76" s="356">
        <v>350000000000</v>
      </c>
      <c r="F76" s="417">
        <f>(D76*E76)/'EmUSD - EmR$'!$C$8</f>
        <v>8065.8104766156894</v>
      </c>
      <c r="G76" s="504">
        <f t="shared" si="8"/>
        <v>5455291834455.9531</v>
      </c>
      <c r="H76" s="315"/>
      <c r="U76" s="543">
        <f>SUM(D67,F77,F89,G101)</f>
        <v>422915.69330709864</v>
      </c>
      <c r="V76" s="543">
        <f t="shared" si="7"/>
        <v>18733.875125280494</v>
      </c>
    </row>
    <row r="77" spans="2:22" x14ac:dyDescent="0.2">
      <c r="B77" s="277" t="s">
        <v>82</v>
      </c>
      <c r="C77" s="278">
        <v>200</v>
      </c>
      <c r="D77" s="422">
        <f>'6  CO2'!G17</f>
        <v>312324.58279005747</v>
      </c>
      <c r="E77" s="352">
        <v>980000000000</v>
      </c>
      <c r="F77" s="418">
        <f>((D77*E77)/'EmUSD - EmR$'!$C$8)/10</f>
        <v>9275.0936707350393</v>
      </c>
      <c r="G77" s="425">
        <f>D77*$B$79</f>
        <v>22404241649928.742</v>
      </c>
      <c r="U77" s="315">
        <f>SUM(D68,F78,F90,G102)</f>
        <v>0</v>
      </c>
    </row>
    <row r="78" spans="2:22" x14ac:dyDescent="0.2">
      <c r="B78" s="117" t="s">
        <v>343</v>
      </c>
      <c r="D78" s="315"/>
    </row>
    <row r="79" spans="2:22" x14ac:dyDescent="0.2">
      <c r="B79" s="350">
        <v>71733840.000000015</v>
      </c>
      <c r="C79" s="117" t="s">
        <v>428</v>
      </c>
    </row>
    <row r="80" spans="2:22" x14ac:dyDescent="0.2">
      <c r="D80" s="315"/>
    </row>
    <row r="81" spans="2:11" x14ac:dyDescent="0.2">
      <c r="B81" s="314" t="s">
        <v>480</v>
      </c>
    </row>
    <row r="82" spans="2:11" ht="25.5" x14ac:dyDescent="0.2">
      <c r="B82" s="115" t="s">
        <v>99</v>
      </c>
      <c r="C82" s="355" t="s">
        <v>100</v>
      </c>
      <c r="D82" s="357" t="s">
        <v>373</v>
      </c>
      <c r="E82" s="320" t="s">
        <v>340</v>
      </c>
      <c r="F82" s="191" t="s">
        <v>389</v>
      </c>
    </row>
    <row r="83" spans="2:11" x14ac:dyDescent="0.2">
      <c r="B83" s="316" t="s">
        <v>70</v>
      </c>
      <c r="C83" s="317">
        <v>1.5</v>
      </c>
      <c r="D83" s="435">
        <v>0</v>
      </c>
      <c r="E83" s="351">
        <v>4.94E+16</v>
      </c>
      <c r="F83" s="419">
        <f>(D83*E83)/'EmUSD - EmR$'!$C$8</f>
        <v>0</v>
      </c>
    </row>
    <row r="84" spans="2:11" x14ac:dyDescent="0.2">
      <c r="B84" s="272" t="s">
        <v>72</v>
      </c>
      <c r="C84" s="273">
        <v>5</v>
      </c>
      <c r="D84" s="436">
        <v>2</v>
      </c>
      <c r="E84" s="351">
        <v>4.94E+16</v>
      </c>
      <c r="F84" s="420">
        <f>(D84*E84)/'EmUSD - EmR$'!$C$8</f>
        <v>29939.39393939394</v>
      </c>
    </row>
    <row r="85" spans="2:11" x14ac:dyDescent="0.2">
      <c r="B85" s="272" t="s">
        <v>74</v>
      </c>
      <c r="C85" s="273">
        <v>8</v>
      </c>
      <c r="D85" s="437">
        <v>5</v>
      </c>
      <c r="E85" s="351">
        <v>4.94E+16</v>
      </c>
      <c r="F85" s="420">
        <f>(D85*E85)/'EmUSD - EmR$'!$C$8</f>
        <v>74848.484848484848</v>
      </c>
    </row>
    <row r="86" spans="2:11" x14ac:dyDescent="0.2">
      <c r="B86" s="272" t="s">
        <v>76</v>
      </c>
      <c r="C86" s="273">
        <v>14</v>
      </c>
      <c r="D86" s="437">
        <v>11</v>
      </c>
      <c r="E86" s="351">
        <v>4.94E+16</v>
      </c>
      <c r="F86" s="420">
        <f>(D86*E86)/'EmUSD - EmR$'!$C$8</f>
        <v>164666.66666666666</v>
      </c>
      <c r="I86" s="375"/>
    </row>
    <row r="87" spans="2:11" x14ac:dyDescent="0.2">
      <c r="B87" s="272" t="s">
        <v>78</v>
      </c>
      <c r="C87" s="273">
        <v>20</v>
      </c>
      <c r="D87" s="437">
        <v>12</v>
      </c>
      <c r="E87" s="351">
        <v>4.94E+16</v>
      </c>
      <c r="F87" s="420">
        <f>(D87*E87)/'EmUSD - EmR$'!$C$8</f>
        <v>179636.36363636365</v>
      </c>
    </row>
    <row r="88" spans="2:11" x14ac:dyDescent="0.2">
      <c r="B88" s="272" t="s">
        <v>80</v>
      </c>
      <c r="C88" s="273">
        <v>26</v>
      </c>
      <c r="D88" s="437">
        <v>21</v>
      </c>
      <c r="E88" s="351">
        <v>4.94E+16</v>
      </c>
      <c r="F88" s="420">
        <f>(D88*E88)/'EmUSD - EmR$'!$C$8</f>
        <v>314363.63636363635</v>
      </c>
    </row>
    <row r="89" spans="2:11" x14ac:dyDescent="0.2">
      <c r="B89" s="277" t="s">
        <v>82</v>
      </c>
      <c r="C89" s="278">
        <v>200</v>
      </c>
      <c r="D89" s="438">
        <v>27</v>
      </c>
      <c r="E89" s="352">
        <v>4.94E+16</v>
      </c>
      <c r="F89" s="422">
        <f>(D89*E89)/'EmUSD - EmR$'!$C$8</f>
        <v>404181.81818181818</v>
      </c>
    </row>
    <row r="90" spans="2:11" x14ac:dyDescent="0.2">
      <c r="B90" s="117" t="s">
        <v>372</v>
      </c>
    </row>
    <row r="93" spans="2:11" x14ac:dyDescent="0.2">
      <c r="B93" s="314" t="s">
        <v>481</v>
      </c>
    </row>
    <row r="94" spans="2:11" ht="33.75" x14ac:dyDescent="0.2">
      <c r="B94" s="470" t="s">
        <v>99</v>
      </c>
      <c r="C94" s="479" t="s">
        <v>100</v>
      </c>
      <c r="D94" s="320" t="s">
        <v>407</v>
      </c>
      <c r="E94" s="320" t="s">
        <v>379</v>
      </c>
      <c r="F94" s="320" t="s">
        <v>340</v>
      </c>
      <c r="G94" s="477" t="s">
        <v>389</v>
      </c>
      <c r="I94" s="223"/>
      <c r="J94" s="223"/>
      <c r="K94" s="223"/>
    </row>
    <row r="95" spans="2:11" x14ac:dyDescent="0.2">
      <c r="B95" s="316" t="s">
        <v>70</v>
      </c>
      <c r="C95" s="317">
        <v>1.5</v>
      </c>
      <c r="D95" s="439">
        <v>-1.0700000000000003</v>
      </c>
      <c r="E95" s="424">
        <f>($E$101*D95)/$D$101</f>
        <v>-236751.21424716679</v>
      </c>
      <c r="F95" s="423">
        <f>($F$100*C95)/$C$100</f>
        <v>167307692.30769232</v>
      </c>
      <c r="G95" s="416">
        <f>(E95*F95)/'EmUSD - EmR$'!$C$8</f>
        <v>-12.003121002041674</v>
      </c>
      <c r="I95" s="454"/>
      <c r="J95" s="223"/>
      <c r="K95" s="223"/>
    </row>
    <row r="96" spans="2:11" x14ac:dyDescent="0.2">
      <c r="B96" s="272" t="s">
        <v>72</v>
      </c>
      <c r="C96" s="273">
        <v>5</v>
      </c>
      <c r="D96" s="440">
        <v>4.0400000000000063</v>
      </c>
      <c r="E96" s="424">
        <f t="shared" ref="E96:E98" si="9">($E$101*D96)/$D$101</f>
        <v>893901.78089584596</v>
      </c>
      <c r="F96" s="423">
        <f>($F$100*C96)/$C$100</f>
        <v>557692307.69230771</v>
      </c>
      <c r="G96" s="417">
        <f>(E96*F96)/'EmUSD - EmR$'!$C$8</f>
        <v>151.067317284263</v>
      </c>
      <c r="I96" s="454"/>
      <c r="J96" s="223"/>
      <c r="K96" s="223"/>
    </row>
    <row r="97" spans="2:22" x14ac:dyDescent="0.2">
      <c r="B97" s="272" t="s">
        <v>74</v>
      </c>
      <c r="C97" s="273">
        <v>8</v>
      </c>
      <c r="D97" s="440">
        <v>4.3000000000000043</v>
      </c>
      <c r="E97" s="424">
        <f t="shared" si="9"/>
        <v>951430.11332973652</v>
      </c>
      <c r="F97" s="423">
        <f>($F$100*C97)/$C$100</f>
        <v>892307692.30769229</v>
      </c>
      <c r="G97" s="417">
        <f>(E97*F97)/'EmUSD - EmR$'!$C$8</f>
        <v>257.26315418706162</v>
      </c>
      <c r="I97" s="454"/>
      <c r="J97" s="223"/>
      <c r="K97" s="223"/>
    </row>
    <row r="98" spans="2:22" x14ac:dyDescent="0.2">
      <c r="B98" s="272" t="s">
        <v>76</v>
      </c>
      <c r="C98" s="273">
        <v>14</v>
      </c>
      <c r="D98" s="440">
        <v>10.020000000000003</v>
      </c>
      <c r="E98" s="424">
        <f t="shared" si="9"/>
        <v>2217053.426875338</v>
      </c>
      <c r="F98" s="423">
        <f>($F$100*C98)/$C$100</f>
        <v>1561538461.5384614</v>
      </c>
      <c r="G98" s="417">
        <f>(E98*F98)/'EmUSD - EmR$'!$C$8</f>
        <v>1049.0952113186331</v>
      </c>
      <c r="I98" s="454"/>
      <c r="J98" s="223"/>
      <c r="K98" s="223"/>
      <c r="U98" s="544"/>
      <c r="V98" s="545"/>
    </row>
    <row r="99" spans="2:22" x14ac:dyDescent="0.2">
      <c r="B99" s="272" t="s">
        <v>78</v>
      </c>
      <c r="C99" s="273">
        <v>20</v>
      </c>
      <c r="D99" s="440">
        <v>15.479999999999997</v>
      </c>
      <c r="E99" s="424">
        <f>($E$101*D99)/$D$101</f>
        <v>3425148.407987047</v>
      </c>
      <c r="F99" s="423">
        <f>($F$100*C99)/$C$100</f>
        <v>2230769230.7692308</v>
      </c>
      <c r="G99" s="417">
        <f>(E99*F99)/'EmUSD - EmR$'!$C$8</f>
        <v>2315.3683876835516</v>
      </c>
      <c r="I99" s="454"/>
      <c r="J99" s="223"/>
      <c r="K99" s="223"/>
      <c r="U99" s="546"/>
      <c r="V99" s="547"/>
    </row>
    <row r="100" spans="2:22" x14ac:dyDescent="0.2">
      <c r="B100" s="272" t="s">
        <v>80</v>
      </c>
      <c r="C100" s="273">
        <v>26</v>
      </c>
      <c r="D100" s="440">
        <v>25.34</v>
      </c>
      <c r="E100" s="424">
        <f>($E$101*D100)/$D$101</f>
        <v>5606799.7841338366</v>
      </c>
      <c r="F100" s="356">
        <v>2900000000</v>
      </c>
      <c r="G100" s="417">
        <f>(E100*F100)/'EmUSD - EmR$'!$C$8</f>
        <v>4927.1876890873109</v>
      </c>
      <c r="I100" s="454"/>
      <c r="J100" s="223"/>
      <c r="K100" s="223"/>
      <c r="U100" s="548"/>
      <c r="V100" s="549"/>
    </row>
    <row r="101" spans="2:22" x14ac:dyDescent="0.2">
      <c r="B101" s="277" t="s">
        <v>82</v>
      </c>
      <c r="C101" s="278">
        <v>200</v>
      </c>
      <c r="D101" s="441">
        <v>37.06</v>
      </c>
      <c r="E101" s="425">
        <v>8200000</v>
      </c>
      <c r="F101" s="352">
        <v>10000000000</v>
      </c>
      <c r="G101" s="418">
        <f>((E101*F101)/'EmUSD - EmR$'!$C$8)/5</f>
        <v>4969.69696969697</v>
      </c>
      <c r="I101" s="454"/>
      <c r="J101" s="223"/>
      <c r="K101" s="223"/>
      <c r="U101" s="546"/>
      <c r="V101" s="547"/>
    </row>
    <row r="102" spans="2:22" x14ac:dyDescent="0.2">
      <c r="B102" s="117" t="s">
        <v>343</v>
      </c>
      <c r="D102" s="315"/>
      <c r="I102" s="223"/>
      <c r="J102" s="223"/>
      <c r="K102" s="223"/>
      <c r="U102" s="546"/>
      <c r="V102" s="547"/>
    </row>
    <row r="103" spans="2:22" x14ac:dyDescent="0.2">
      <c r="I103" s="223"/>
      <c r="J103" s="223"/>
      <c r="K103" s="223"/>
      <c r="U103" s="546"/>
      <c r="V103" s="547"/>
    </row>
    <row r="104" spans="2:22" x14ac:dyDescent="0.2">
      <c r="U104" s="548"/>
      <c r="V104" s="549"/>
    </row>
    <row r="105" spans="2:22" x14ac:dyDescent="0.2">
      <c r="U105" s="546"/>
      <c r="V105" s="547"/>
    </row>
    <row r="106" spans="2:22" x14ac:dyDescent="0.2">
      <c r="U106" s="548"/>
      <c r="V106" s="549"/>
    </row>
    <row r="107" spans="2:22" x14ac:dyDescent="0.2">
      <c r="U107" s="548"/>
      <c r="V107" s="549"/>
    </row>
    <row r="108" spans="2:22" x14ac:dyDescent="0.2">
      <c r="U108" s="550"/>
      <c r="V108" s="551"/>
    </row>
  </sheetData>
  <mergeCells count="20">
    <mergeCell ref="E44:O44"/>
    <mergeCell ref="B21:B24"/>
    <mergeCell ref="C21:C24"/>
    <mergeCell ref="B26:B29"/>
    <mergeCell ref="C26:C29"/>
    <mergeCell ref="B31:B34"/>
    <mergeCell ref="C31:C34"/>
    <mergeCell ref="B4:B5"/>
    <mergeCell ref="C4:C5"/>
    <mergeCell ref="B6:B9"/>
    <mergeCell ref="C6:C9"/>
    <mergeCell ref="B11:B14"/>
    <mergeCell ref="C11:C14"/>
    <mergeCell ref="B16:B19"/>
    <mergeCell ref="C16:C19"/>
    <mergeCell ref="D43:D44"/>
    <mergeCell ref="C43:C44"/>
    <mergeCell ref="B43:B44"/>
    <mergeCell ref="B36:B39"/>
    <mergeCell ref="C36:C39"/>
  </mergeCells>
  <pageMargins left="0.511811024" right="0.511811024" top="0.78740157499999996" bottom="0.78740157499999996" header="0.31496062000000002" footer="0.31496062000000002"/>
  <pageSetup paperSize="9" orientation="portrait" verticalDpi="300" r:id="rId1"/>
  <ignoredErrors>
    <ignoredError sqref="D7:D9 D36:D39 D31:D34 D26:D29 D21:D24 D16:D19 D11:D14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8:U101"/>
  <sheetViews>
    <sheetView showGridLines="0" zoomScale="110" zoomScaleNormal="110" workbookViewId="0">
      <selection activeCell="B3" sqref="B3"/>
    </sheetView>
  </sheetViews>
  <sheetFormatPr defaultRowHeight="12.75" x14ac:dyDescent="0.2"/>
  <cols>
    <col min="1" max="1" width="9.140625" style="117"/>
    <col min="2" max="2" width="13.42578125" style="117" bestFit="1" customWidth="1"/>
    <col min="3" max="3" width="22" style="117" bestFit="1" customWidth="1"/>
    <col min="4" max="4" width="15" style="117" customWidth="1"/>
    <col min="5" max="5" width="9" style="117" bestFit="1" customWidth="1"/>
    <col min="6" max="6" width="14.42578125" style="117" bestFit="1" customWidth="1"/>
    <col min="7" max="7" width="9" style="117" customWidth="1"/>
    <col min="8" max="17" width="9.140625" style="117"/>
    <col min="18" max="18" width="10.140625" style="117" bestFit="1" customWidth="1"/>
    <col min="19" max="20" width="9.140625" style="117"/>
    <col min="21" max="21" width="11" style="117" bestFit="1" customWidth="1"/>
    <col min="22" max="16384" width="9.140625" style="117"/>
  </cols>
  <sheetData>
    <row r="8" spans="1:20" x14ac:dyDescent="0.2">
      <c r="A8" s="117">
        <v>31</v>
      </c>
      <c r="B8" s="653" t="s">
        <v>410</v>
      </c>
      <c r="C8" s="653"/>
      <c r="D8" s="653"/>
      <c r="E8" s="653"/>
    </row>
    <row r="9" spans="1:20" ht="27" x14ac:dyDescent="0.2">
      <c r="B9" s="115" t="s">
        <v>99</v>
      </c>
      <c r="C9" s="115" t="s">
        <v>100</v>
      </c>
      <c r="D9" s="482" t="s">
        <v>384</v>
      </c>
      <c r="E9" s="320" t="s">
        <v>340</v>
      </c>
      <c r="F9" s="191" t="s">
        <v>387</v>
      </c>
      <c r="G9" s="455" t="s">
        <v>325</v>
      </c>
      <c r="T9" s="480"/>
    </row>
    <row r="10" spans="1:20" x14ac:dyDescent="0.2">
      <c r="B10" s="316" t="s">
        <v>70</v>
      </c>
      <c r="C10" s="317">
        <v>1.5</v>
      </c>
      <c r="D10" s="484">
        <f>'2 Chuva'!$E$16*(0.769-'Restaura -  serviços '!G10)</f>
        <v>296340.00000000029</v>
      </c>
      <c r="E10" s="356">
        <v>150000000</v>
      </c>
      <c r="F10" s="416">
        <f>(D10*E10)/'EmUSD - EmR$'!$C$8</f>
        <v>13.470000000000015</v>
      </c>
      <c r="G10" s="416">
        <v>0.747</v>
      </c>
      <c r="Q10" s="560" t="s">
        <v>70</v>
      </c>
      <c r="R10" s="561">
        <f t="shared" ref="R10:R16" si="0">SUM(F10,F23,F36,F48,F59,F70,F82,F94)</f>
        <v>366.68960937466949</v>
      </c>
      <c r="T10" s="480"/>
    </row>
    <row r="11" spans="1:20" x14ac:dyDescent="0.2">
      <c r="B11" s="272" t="s">
        <v>72</v>
      </c>
      <c r="C11" s="273">
        <v>5</v>
      </c>
      <c r="D11" s="485">
        <f>'2 Chuva'!$E$16*(0.769-'Restaura -  serviços '!G11)</f>
        <v>1037190.0000000009</v>
      </c>
      <c r="E11" s="356">
        <v>150000000</v>
      </c>
      <c r="F11" s="417">
        <f>(D11*E11)/'EmUSD - EmR$'!$C$8</f>
        <v>47.145000000000039</v>
      </c>
      <c r="G11" s="417">
        <v>0.69199999999999995</v>
      </c>
      <c r="Q11" s="562" t="s">
        <v>72</v>
      </c>
      <c r="R11" s="563">
        <f t="shared" si="0"/>
        <v>447.83078324596266</v>
      </c>
      <c r="T11" s="480"/>
    </row>
    <row r="12" spans="1:20" x14ac:dyDescent="0.2">
      <c r="B12" s="272" t="s">
        <v>74</v>
      </c>
      <c r="C12" s="273">
        <v>8</v>
      </c>
      <c r="D12" s="485">
        <f>'2 Chuva'!$E$16*(0.769-'Restaura -  serviços '!G12)</f>
        <v>1643340</v>
      </c>
      <c r="E12" s="356">
        <v>150000000</v>
      </c>
      <c r="F12" s="417">
        <f>(D12*E12)/'EmUSD - EmR$'!$C$8</f>
        <v>74.697272727272733</v>
      </c>
      <c r="G12" s="417">
        <v>0.64700000000000002</v>
      </c>
      <c r="H12" s="483"/>
      <c r="I12" s="480"/>
      <c r="J12" s="480"/>
      <c r="K12" s="480"/>
      <c r="L12" s="480"/>
      <c r="M12" s="480"/>
      <c r="N12" s="481"/>
      <c r="O12" s="481"/>
      <c r="Q12" s="562" t="s">
        <v>74</v>
      </c>
      <c r="R12" s="563">
        <f t="shared" si="0"/>
        <v>514.55131542162928</v>
      </c>
      <c r="T12" s="480"/>
    </row>
    <row r="13" spans="1:20" x14ac:dyDescent="0.2">
      <c r="B13" s="272" t="s">
        <v>76</v>
      </c>
      <c r="C13" s="273">
        <v>14</v>
      </c>
      <c r="D13" s="485">
        <f>'2 Chuva'!$E$16*(0.769-'Restaura -  serviços '!G13)</f>
        <v>2747880.0000000009</v>
      </c>
      <c r="E13" s="356">
        <v>150000000</v>
      </c>
      <c r="F13" s="417">
        <f>(D13*E13)/'EmUSD - EmR$'!$C$8</f>
        <v>124.90363636363639</v>
      </c>
      <c r="G13" s="417">
        <v>0.56499999999999995</v>
      </c>
      <c r="H13" s="483"/>
      <c r="I13" s="480"/>
      <c r="J13" s="480"/>
      <c r="K13" s="480"/>
      <c r="L13" s="480"/>
      <c r="M13" s="480"/>
      <c r="N13" s="481"/>
      <c r="O13" s="481"/>
      <c r="Q13" s="562" t="s">
        <v>76</v>
      </c>
      <c r="R13" s="563">
        <f t="shared" si="0"/>
        <v>977.2874818150118</v>
      </c>
      <c r="T13" s="480"/>
    </row>
    <row r="14" spans="1:20" x14ac:dyDescent="0.2">
      <c r="B14" s="272" t="s">
        <v>78</v>
      </c>
      <c r="C14" s="273">
        <v>20</v>
      </c>
      <c r="D14" s="485">
        <f>'2 Chuva'!$E$16*(0.769-'Restaura -  serviços '!G14)</f>
        <v>3731190.0000000005</v>
      </c>
      <c r="E14" s="356">
        <v>150000000</v>
      </c>
      <c r="F14" s="417">
        <f>(D14*E14)/'EmUSD - EmR$'!$C$8</f>
        <v>169.59954545454548</v>
      </c>
      <c r="G14" s="417">
        <v>0.49199999999999999</v>
      </c>
      <c r="H14" s="483"/>
      <c r="I14" s="480"/>
      <c r="J14" s="480"/>
      <c r="K14" s="480"/>
      <c r="L14" s="480"/>
      <c r="M14" s="480"/>
      <c r="N14" s="481"/>
      <c r="O14" s="481"/>
      <c r="Q14" s="562" t="s">
        <v>78</v>
      </c>
      <c r="R14" s="563">
        <f t="shared" si="0"/>
        <v>1425.9031763981718</v>
      </c>
      <c r="T14" s="480"/>
    </row>
    <row r="15" spans="1:20" x14ac:dyDescent="0.2">
      <c r="B15" s="272" t="s">
        <v>80</v>
      </c>
      <c r="C15" s="273">
        <v>26</v>
      </c>
      <c r="D15" s="485">
        <f>'2 Chuva'!$E$16*(0.769-'Restaura -  serviços '!G15)</f>
        <v>4593270</v>
      </c>
      <c r="E15" s="356">
        <v>150000000</v>
      </c>
      <c r="F15" s="417">
        <f>(D15*E15)/'EmUSD - EmR$'!$C$8</f>
        <v>208.785</v>
      </c>
      <c r="G15" s="417">
        <v>0.42799999999999999</v>
      </c>
      <c r="H15" s="483"/>
      <c r="I15" s="480"/>
      <c r="J15" s="480"/>
      <c r="K15" s="480"/>
      <c r="L15" s="480"/>
      <c r="M15" s="480"/>
      <c r="N15" s="481"/>
      <c r="O15" s="481"/>
      <c r="Q15" s="562" t="s">
        <v>80</v>
      </c>
      <c r="R15" s="563">
        <f t="shared" si="0"/>
        <v>1736.4745106055304</v>
      </c>
    </row>
    <row r="16" spans="1:20" x14ac:dyDescent="0.2">
      <c r="B16" s="277" t="s">
        <v>82</v>
      </c>
      <c r="C16" s="278">
        <v>200</v>
      </c>
      <c r="D16" s="486">
        <f>'2 Chuva'!$E$16*(0.769-'Restaura -  serviços '!G16)</f>
        <v>9684930</v>
      </c>
      <c r="E16" s="352">
        <v>150000000</v>
      </c>
      <c r="F16" s="418">
        <f>(D16*E16)/'EmUSD - EmR$'!$C$8</f>
        <v>440.22409090909093</v>
      </c>
      <c r="G16" s="418">
        <v>0.05</v>
      </c>
      <c r="H16" s="483"/>
      <c r="I16" s="480"/>
      <c r="J16" s="480"/>
      <c r="K16" s="480"/>
      <c r="L16" s="480"/>
      <c r="M16" s="480"/>
      <c r="N16" s="481"/>
      <c r="O16" s="481"/>
      <c r="Q16" s="564" t="s">
        <v>82</v>
      </c>
      <c r="R16" s="565">
        <f t="shared" si="0"/>
        <v>5981.6439154470172</v>
      </c>
    </row>
    <row r="17" spans="1:21" x14ac:dyDescent="0.2">
      <c r="B17" s="117" t="s">
        <v>343</v>
      </c>
    </row>
    <row r="18" spans="1:21" x14ac:dyDescent="0.2">
      <c r="B18" s="117" t="s">
        <v>411</v>
      </c>
    </row>
    <row r="19" spans="1:21" x14ac:dyDescent="0.2">
      <c r="B19" s="350" t="s">
        <v>412</v>
      </c>
    </row>
    <row r="21" spans="1:21" x14ac:dyDescent="0.2">
      <c r="A21" s="117">
        <v>32</v>
      </c>
      <c r="B21" s="653" t="s">
        <v>413</v>
      </c>
      <c r="C21" s="653"/>
      <c r="D21" s="653"/>
      <c r="E21" s="653"/>
    </row>
    <row r="22" spans="1:21" ht="27" x14ac:dyDescent="0.2">
      <c r="B22" s="115" t="s">
        <v>99</v>
      </c>
      <c r="C22" s="115" t="s">
        <v>100</v>
      </c>
      <c r="D22" s="482" t="s">
        <v>384</v>
      </c>
      <c r="E22" s="320" t="s">
        <v>340</v>
      </c>
      <c r="F22" s="191" t="s">
        <v>387</v>
      </c>
      <c r="G22" s="191" t="s">
        <v>325</v>
      </c>
      <c r="T22" s="480"/>
    </row>
    <row r="23" spans="1:21" x14ac:dyDescent="0.2">
      <c r="B23" s="316" t="s">
        <v>70</v>
      </c>
      <c r="C23" s="317">
        <v>1.5</v>
      </c>
      <c r="D23" s="451">
        <f>'2 Chuva'!$E$16*'Restaura -  serviços '!G23</f>
        <v>353587.5</v>
      </c>
      <c r="E23" s="356">
        <v>150000000</v>
      </c>
      <c r="F23" s="416">
        <f>(D23*E23)/'EmUSD - EmR$'!$C$8</f>
        <v>16.072159090909089</v>
      </c>
      <c r="G23" s="487">
        <v>2.6249999999999999E-2</v>
      </c>
      <c r="T23" s="654" t="s">
        <v>482</v>
      </c>
      <c r="U23" s="655">
        <f>-19941.62/'EmUSD - EmR$'!C7</f>
        <v>-5251.2495062541147</v>
      </c>
    </row>
    <row r="24" spans="1:21" x14ac:dyDescent="0.2">
      <c r="B24" s="272" t="s">
        <v>72</v>
      </c>
      <c r="C24" s="273">
        <v>5</v>
      </c>
      <c r="D24" s="452">
        <f>'2 Chuva'!$E$16*'Restaura -  serviços '!G24</f>
        <v>166489.19999999998</v>
      </c>
      <c r="E24" s="356">
        <v>150000000</v>
      </c>
      <c r="F24" s="417">
        <f>(D24*E24)/'EmUSD - EmR$'!$C$8</f>
        <v>7.5676909090909081</v>
      </c>
      <c r="G24" s="488">
        <v>1.2359999999999999E-2</v>
      </c>
      <c r="T24" s="552" t="s">
        <v>70</v>
      </c>
      <c r="U24" s="553">
        <f>R10</f>
        <v>366.68960937466949</v>
      </c>
    </row>
    <row r="25" spans="1:21" x14ac:dyDescent="0.2">
      <c r="B25" s="272" t="s">
        <v>74</v>
      </c>
      <c r="C25" s="273">
        <v>8</v>
      </c>
      <c r="D25" s="452">
        <f>'2 Chuva'!$E$16*'Restaura -  serviços '!G25</f>
        <v>322202.40000000002</v>
      </c>
      <c r="E25" s="356">
        <v>150000000</v>
      </c>
      <c r="F25" s="417">
        <f>(D25*E25)/'EmUSD - EmR$'!$C$8</f>
        <v>14.645563636363637</v>
      </c>
      <c r="G25" s="488">
        <v>2.392E-2</v>
      </c>
      <c r="H25" s="483"/>
      <c r="I25" s="480"/>
      <c r="J25" s="480"/>
      <c r="K25" s="480"/>
      <c r="L25" s="480"/>
      <c r="M25" s="480"/>
      <c r="N25" s="481"/>
      <c r="O25" s="481"/>
      <c r="T25" s="554" t="s">
        <v>72</v>
      </c>
      <c r="U25" s="555">
        <f>R11</f>
        <v>447.83078324596266</v>
      </c>
    </row>
    <row r="26" spans="1:21" x14ac:dyDescent="0.2">
      <c r="B26" s="272" t="s">
        <v>76</v>
      </c>
      <c r="C26" s="273">
        <v>14</v>
      </c>
      <c r="D26" s="452">
        <f>'2 Chuva'!$E$16*'Restaura -  serviços '!G26</f>
        <v>712293.60000000009</v>
      </c>
      <c r="E26" s="356">
        <v>150000000</v>
      </c>
      <c r="F26" s="417">
        <f>(D26*E26)/'EmUSD - EmR$'!$C$8</f>
        <v>32.376981818181825</v>
      </c>
      <c r="G26" s="488">
        <v>5.2880000000000003E-2</v>
      </c>
      <c r="H26" s="483"/>
      <c r="I26" s="480"/>
      <c r="J26" s="480"/>
      <c r="K26" s="480"/>
      <c r="L26" s="480"/>
      <c r="M26" s="480"/>
      <c r="N26" s="481"/>
      <c r="O26" s="481"/>
      <c r="T26" s="556" t="s">
        <v>450</v>
      </c>
      <c r="U26" s="557">
        <v>3008.05</v>
      </c>
    </row>
    <row r="27" spans="1:21" x14ac:dyDescent="0.2">
      <c r="B27" s="272" t="s">
        <v>78</v>
      </c>
      <c r="C27" s="273">
        <v>20</v>
      </c>
      <c r="D27" s="452">
        <f>'2 Chuva'!$E$16*'Restaura -  serviços '!G27</f>
        <v>1198830</v>
      </c>
      <c r="E27" s="356">
        <v>150000000</v>
      </c>
      <c r="F27" s="417">
        <f>(D27*E27)/'EmUSD - EmR$'!$C$8</f>
        <v>54.492272727272727</v>
      </c>
      <c r="G27" s="488">
        <v>8.8999999999999996E-2</v>
      </c>
      <c r="H27" s="483"/>
      <c r="I27" s="480"/>
      <c r="J27" s="480"/>
      <c r="K27" s="480"/>
      <c r="L27" s="480"/>
      <c r="M27" s="480"/>
      <c r="N27" s="481"/>
      <c r="O27" s="481"/>
      <c r="T27" s="554" t="s">
        <v>74</v>
      </c>
      <c r="U27" s="555">
        <f>R12</f>
        <v>514.55131542162928</v>
      </c>
    </row>
    <row r="28" spans="1:21" x14ac:dyDescent="0.2">
      <c r="B28" s="272" t="s">
        <v>80</v>
      </c>
      <c r="C28" s="273">
        <v>26</v>
      </c>
      <c r="D28" s="452">
        <f>'2 Chuva'!$E$16*'Restaura -  serviços '!G28</f>
        <v>1744365</v>
      </c>
      <c r="E28" s="356">
        <v>150000000</v>
      </c>
      <c r="F28" s="417">
        <f>(D28*E28)/'EmUSD - EmR$'!$C$8</f>
        <v>79.289318181818189</v>
      </c>
      <c r="G28" s="488">
        <v>0.1295</v>
      </c>
      <c r="H28" s="483"/>
      <c r="I28" s="480"/>
      <c r="J28" s="480"/>
      <c r="K28" s="480"/>
      <c r="L28" s="480"/>
      <c r="M28" s="480"/>
      <c r="N28" s="481"/>
      <c r="O28" s="481"/>
      <c r="T28" s="554" t="s">
        <v>76</v>
      </c>
      <c r="U28" s="555">
        <f>R13</f>
        <v>977.2874818150118</v>
      </c>
    </row>
    <row r="29" spans="1:21" x14ac:dyDescent="0.2">
      <c r="B29" s="277" t="s">
        <v>82</v>
      </c>
      <c r="C29" s="278">
        <v>200</v>
      </c>
      <c r="D29" s="462">
        <f>'2 Chuva'!$E$16*'Restaura -  serviços '!G29</f>
        <v>3983079.0000000005</v>
      </c>
      <c r="E29" s="352">
        <v>150000000</v>
      </c>
      <c r="F29" s="418">
        <f>(D29*E29)/'EmUSD - EmR$'!$C$8</f>
        <v>181.04904545454551</v>
      </c>
      <c r="G29" s="489">
        <v>0.29570000000000002</v>
      </c>
      <c r="H29" s="483"/>
      <c r="I29" s="480"/>
      <c r="J29" s="480"/>
      <c r="K29" s="480"/>
      <c r="L29" s="480"/>
      <c r="M29" s="480"/>
      <c r="N29" s="481"/>
      <c r="O29" s="481"/>
      <c r="T29" s="554" t="s">
        <v>78</v>
      </c>
      <c r="U29" s="555">
        <f>R14</f>
        <v>1425.9031763981718</v>
      </c>
    </row>
    <row r="30" spans="1:21" x14ac:dyDescent="0.2">
      <c r="B30" s="117" t="s">
        <v>343</v>
      </c>
      <c r="T30" s="556" t="s">
        <v>451</v>
      </c>
      <c r="U30" s="557">
        <v>3433.53</v>
      </c>
    </row>
    <row r="31" spans="1:21" x14ac:dyDescent="0.2">
      <c r="B31" s="117" t="s">
        <v>383</v>
      </c>
      <c r="T31" s="554" t="s">
        <v>80</v>
      </c>
      <c r="U31" s="555">
        <f>R15</f>
        <v>1736.4745106055304</v>
      </c>
    </row>
    <row r="32" spans="1:21" x14ac:dyDescent="0.2">
      <c r="B32" s="350"/>
      <c r="T32" s="556" t="s">
        <v>452</v>
      </c>
      <c r="U32" s="557">
        <v>3706.73</v>
      </c>
    </row>
    <row r="33" spans="1:21" x14ac:dyDescent="0.2">
      <c r="T33" s="556" t="s">
        <v>453</v>
      </c>
      <c r="U33" s="557">
        <v>5129.9399999999996</v>
      </c>
    </row>
    <row r="34" spans="1:21" x14ac:dyDescent="0.2">
      <c r="A34" s="117">
        <v>33</v>
      </c>
      <c r="B34" s="653" t="s">
        <v>344</v>
      </c>
      <c r="C34" s="653"/>
      <c r="D34" s="653"/>
      <c r="E34" s="653"/>
      <c r="T34" s="558" t="s">
        <v>82</v>
      </c>
      <c r="U34" s="559">
        <f>R16</f>
        <v>5981.6439154470172</v>
      </c>
    </row>
    <row r="35" spans="1:21" ht="27" x14ac:dyDescent="0.2">
      <c r="B35" s="115" t="s">
        <v>99</v>
      </c>
      <c r="C35" s="115" t="s">
        <v>100</v>
      </c>
      <c r="D35" s="358" t="s">
        <v>384</v>
      </c>
      <c r="E35" s="320" t="s">
        <v>340</v>
      </c>
      <c r="F35" s="191" t="s">
        <v>387</v>
      </c>
      <c r="G35" s="191" t="s">
        <v>325</v>
      </c>
    </row>
    <row r="36" spans="1:21" x14ac:dyDescent="0.2">
      <c r="B36" s="316" t="s">
        <v>70</v>
      </c>
      <c r="C36" s="317">
        <v>1.5</v>
      </c>
      <c r="D36" s="451">
        <f>'2 Chuva'!$E$16*'Restaura -  serviços '!G36</f>
        <v>1980090</v>
      </c>
      <c r="E36" s="356">
        <v>150000000</v>
      </c>
      <c r="F36" s="416">
        <f>(D36*E36)/'EmUSD - EmR$'!$C$8</f>
        <v>90.004090909090905</v>
      </c>
      <c r="G36" s="487">
        <v>0.14699999999999999</v>
      </c>
    </row>
    <row r="37" spans="1:21" x14ac:dyDescent="0.2">
      <c r="B37" s="272" t="s">
        <v>72</v>
      </c>
      <c r="C37" s="273">
        <v>5</v>
      </c>
      <c r="D37" s="452">
        <f>'2 Chuva'!$E$16*'Restaura -  serviços '!G37</f>
        <v>2478480</v>
      </c>
      <c r="E37" s="356">
        <v>150000000</v>
      </c>
      <c r="F37" s="417">
        <f>(D37*E37)/'EmUSD - EmR$'!$C$8</f>
        <v>112.65818181818182</v>
      </c>
      <c r="G37" s="488">
        <v>0.184</v>
      </c>
    </row>
    <row r="38" spans="1:21" x14ac:dyDescent="0.2">
      <c r="B38" s="272" t="s">
        <v>74</v>
      </c>
      <c r="C38" s="273">
        <v>8</v>
      </c>
      <c r="D38" s="452">
        <f>'2 Chuva'!$E$16*'Restaura -  serviços '!G38</f>
        <v>2882580</v>
      </c>
      <c r="E38" s="356">
        <v>150000000</v>
      </c>
      <c r="F38" s="417">
        <f>(D38*E38)/'EmUSD - EmR$'!$C$8</f>
        <v>131.02636363636364</v>
      </c>
      <c r="G38" s="488">
        <v>0.214</v>
      </c>
    </row>
    <row r="39" spans="1:21" x14ac:dyDescent="0.2">
      <c r="B39" s="272" t="s">
        <v>76</v>
      </c>
      <c r="C39" s="273">
        <v>14</v>
      </c>
      <c r="D39" s="452">
        <f>'2 Chuva'!$E$16*'Restaura -  serviços '!G39</f>
        <v>3596490</v>
      </c>
      <c r="E39" s="356">
        <v>150000000</v>
      </c>
      <c r="F39" s="417">
        <f>(D39*E39)/'EmUSD - EmR$'!$C$8</f>
        <v>163.47681818181817</v>
      </c>
      <c r="G39" s="488">
        <v>0.26700000000000002</v>
      </c>
    </row>
    <row r="40" spans="1:21" x14ac:dyDescent="0.2">
      <c r="B40" s="272" t="s">
        <v>78</v>
      </c>
      <c r="C40" s="273">
        <v>20</v>
      </c>
      <c r="D40" s="452">
        <f>'2 Chuva'!$E$16*'Restaura -  serviços '!G40</f>
        <v>4216110</v>
      </c>
      <c r="E40" s="356">
        <v>150000000</v>
      </c>
      <c r="F40" s="417">
        <f>(D40*E40)/'EmUSD - EmR$'!$C$8</f>
        <v>191.64136363636365</v>
      </c>
      <c r="G40" s="488">
        <v>0.313</v>
      </c>
    </row>
    <row r="41" spans="1:21" x14ac:dyDescent="0.2">
      <c r="B41" s="272" t="s">
        <v>80</v>
      </c>
      <c r="C41" s="273">
        <v>26</v>
      </c>
      <c r="D41" s="452">
        <f>'2 Chuva'!$E$16*'Restaura -  serviços '!G41</f>
        <v>4727970</v>
      </c>
      <c r="E41" s="356">
        <v>150000000</v>
      </c>
      <c r="F41" s="417">
        <f>(D41*E41)/'EmUSD - EmR$'!$C$8</f>
        <v>214.90772727272727</v>
      </c>
      <c r="G41" s="488">
        <v>0.35099999999999998</v>
      </c>
    </row>
    <row r="42" spans="1:21" x14ac:dyDescent="0.2">
      <c r="B42" s="277" t="s">
        <v>82</v>
      </c>
      <c r="C42" s="278">
        <v>200</v>
      </c>
      <c r="D42" s="462">
        <f>'2 Chuva'!$E$16*'Restaura -  serviços '!G42</f>
        <v>7785659.9999999991</v>
      </c>
      <c r="E42" s="352">
        <v>150000000</v>
      </c>
      <c r="F42" s="418">
        <f>(D42*E42)/'EmUSD - EmR$'!$C$8</f>
        <v>353.89363636363629</v>
      </c>
      <c r="G42" s="489">
        <v>0.57799999999999996</v>
      </c>
    </row>
    <row r="43" spans="1:21" x14ac:dyDescent="0.2">
      <c r="B43" s="117" t="s">
        <v>343</v>
      </c>
    </row>
    <row r="44" spans="1:21" x14ac:dyDescent="0.2">
      <c r="B44" s="117" t="s">
        <v>383</v>
      </c>
    </row>
    <row r="46" spans="1:21" x14ac:dyDescent="0.2">
      <c r="A46" s="117">
        <v>34</v>
      </c>
      <c r="B46" s="653" t="s">
        <v>54</v>
      </c>
      <c r="C46" s="653"/>
      <c r="D46" s="653"/>
      <c r="E46" s="653"/>
    </row>
    <row r="47" spans="1:21" ht="25.5" x14ac:dyDescent="0.2">
      <c r="B47" s="115" t="s">
        <v>99</v>
      </c>
      <c r="C47" s="115" t="s">
        <v>100</v>
      </c>
      <c r="D47" s="357" t="s">
        <v>381</v>
      </c>
      <c r="E47" s="320" t="s">
        <v>340</v>
      </c>
      <c r="F47" s="162" t="s">
        <v>387</v>
      </c>
    </row>
    <row r="48" spans="1:21" x14ac:dyDescent="0.2">
      <c r="B48" s="316" t="s">
        <v>70</v>
      </c>
      <c r="C48" s="317">
        <v>1.5</v>
      </c>
      <c r="D48" s="416">
        <f>'6  CO2'!J5</f>
        <v>16720.683998178567</v>
      </c>
      <c r="E48" s="424">
        <f t="shared" ref="E48:E51" si="1">($E$53*C48)/$C$53</f>
        <v>30576923076.923077</v>
      </c>
      <c r="F48" s="417">
        <f>(D48*E48)/'EmUSD - EmR$'!$C$8</f>
        <v>154.92941466843777</v>
      </c>
    </row>
    <row r="49" spans="1:6" x14ac:dyDescent="0.2">
      <c r="B49" s="272" t="s">
        <v>72</v>
      </c>
      <c r="C49" s="273">
        <v>5</v>
      </c>
      <c r="D49" s="417">
        <f>'6  CO2'!J7</f>
        <v>5463.7691905762231</v>
      </c>
      <c r="E49" s="424">
        <f t="shared" si="1"/>
        <v>101923076923.07692</v>
      </c>
      <c r="F49" s="417">
        <f>(D49*E49)/'EmUSD - EmR$'!$C$8</f>
        <v>168.75277803061761</v>
      </c>
    </row>
    <row r="50" spans="1:6" x14ac:dyDescent="0.2">
      <c r="B50" s="272" t="s">
        <v>74</v>
      </c>
      <c r="C50" s="273">
        <v>8</v>
      </c>
      <c r="D50" s="426">
        <f>'6  CO2'!J9</f>
        <v>2668.3550139752683</v>
      </c>
      <c r="E50" s="424">
        <f t="shared" si="1"/>
        <v>163076923076.92307</v>
      </c>
      <c r="F50" s="417">
        <f>(D50*E50)/'EmUSD - EmR$'!$C$8</f>
        <v>131.86276525938388</v>
      </c>
    </row>
    <row r="51" spans="1:6" x14ac:dyDescent="0.2">
      <c r="B51" s="272" t="s">
        <v>76</v>
      </c>
      <c r="C51" s="273">
        <v>14</v>
      </c>
      <c r="D51" s="426">
        <f>'6  CO2'!J11</f>
        <v>3122.1977901781088</v>
      </c>
      <c r="E51" s="424">
        <f t="shared" si="1"/>
        <v>285384615384.61536</v>
      </c>
      <c r="F51" s="417">
        <f>(D51*E51)/'EmUSD - EmR$'!$C$8</f>
        <v>270.00824712262897</v>
      </c>
    </row>
    <row r="52" spans="1:6" x14ac:dyDescent="0.2">
      <c r="B52" s="272" t="s">
        <v>78</v>
      </c>
      <c r="C52" s="273">
        <v>20</v>
      </c>
      <c r="D52" s="426">
        <f>'6  CO2'!J13</f>
        <v>3750.3171470583625</v>
      </c>
      <c r="E52" s="424">
        <f>($E$53*C52)/$C$53</f>
        <v>407692307692.30768</v>
      </c>
      <c r="F52" s="417">
        <f>(D52*E52)/'EmUSD - EmR$'!$C$8</f>
        <v>463.32589462492592</v>
      </c>
    </row>
    <row r="53" spans="1:6" x14ac:dyDescent="0.2">
      <c r="B53" s="272" t="s">
        <v>80</v>
      </c>
      <c r="C53" s="273">
        <v>26</v>
      </c>
      <c r="D53" s="426">
        <f>'6  CO2'!J15</f>
        <v>2924.9642387727267</v>
      </c>
      <c r="E53" s="356">
        <v>530000000000</v>
      </c>
      <c r="F53" s="417">
        <f>(D53*E53)/'EmUSD - EmR$'!$C$8</f>
        <v>469.76698380289253</v>
      </c>
    </row>
    <row r="54" spans="1:6" x14ac:dyDescent="0.2">
      <c r="B54" s="277" t="s">
        <v>82</v>
      </c>
      <c r="C54" s="278">
        <v>200</v>
      </c>
      <c r="D54" s="418">
        <f>'6  CO2'!J17</f>
        <v>1561.6229139502905</v>
      </c>
      <c r="E54" s="352">
        <v>2300000000000</v>
      </c>
      <c r="F54" s="418">
        <f>(D54*E54)/'EmUSD - EmR$'!C8</f>
        <v>1088.4038491168692</v>
      </c>
    </row>
    <row r="55" spans="1:6" x14ac:dyDescent="0.2">
      <c r="B55" s="117" t="s">
        <v>343</v>
      </c>
    </row>
    <row r="57" spans="1:6" x14ac:dyDescent="0.2">
      <c r="A57" s="117">
        <v>35</v>
      </c>
      <c r="B57" s="653" t="s">
        <v>345</v>
      </c>
      <c r="C57" s="653"/>
      <c r="D57" s="653"/>
      <c r="E57" s="653"/>
    </row>
    <row r="58" spans="1:6" ht="25.5" x14ac:dyDescent="0.2">
      <c r="B58" s="115" t="s">
        <v>99</v>
      </c>
      <c r="C58" s="115" t="s">
        <v>100</v>
      </c>
      <c r="D58" s="357" t="s">
        <v>382</v>
      </c>
      <c r="E58" s="320" t="s">
        <v>340</v>
      </c>
      <c r="F58" s="191" t="s">
        <v>387</v>
      </c>
    </row>
    <row r="59" spans="1:6" x14ac:dyDescent="0.2">
      <c r="B59" s="316" t="s">
        <v>70</v>
      </c>
      <c r="C59" s="317">
        <v>1.5</v>
      </c>
      <c r="D59" s="419">
        <f>'6  CO2'!E5</f>
        <v>1475.1653333333322</v>
      </c>
      <c r="E59" s="424">
        <f t="shared" ref="E59:E62" si="2">($E$64*C59)/$C$64</f>
        <v>30576923076.923077</v>
      </c>
      <c r="F59" s="419">
        <f>(D59*E59)/'EmUSD - EmR$'!$C$8</f>
        <v>13.668489976689967</v>
      </c>
    </row>
    <row r="60" spans="1:6" x14ac:dyDescent="0.2">
      <c r="B60" s="272" t="s">
        <v>72</v>
      </c>
      <c r="C60" s="273">
        <v>5</v>
      </c>
      <c r="D60" s="420">
        <f>'6  CO2'!E7</f>
        <v>3188.8573333333316</v>
      </c>
      <c r="E60" s="424">
        <f t="shared" si="2"/>
        <v>101923076923.07692</v>
      </c>
      <c r="F60" s="420">
        <f>(D60*E60)/'EmUSD - EmR$'!$C$8</f>
        <v>98.490348873348808</v>
      </c>
    </row>
    <row r="61" spans="1:6" x14ac:dyDescent="0.2">
      <c r="B61" s="272" t="s">
        <v>74</v>
      </c>
      <c r="C61" s="273">
        <v>8</v>
      </c>
      <c r="D61" s="421">
        <f>'6  CO2'!E9</f>
        <v>2856.7453333333319</v>
      </c>
      <c r="E61" s="424">
        <f t="shared" si="2"/>
        <v>163076923076.92307</v>
      </c>
      <c r="F61" s="420">
        <f>(D61*E61)/'EmUSD - EmR$'!$C$8</f>
        <v>141.17249665889656</v>
      </c>
    </row>
    <row r="62" spans="1:6" x14ac:dyDescent="0.2">
      <c r="B62" s="272" t="s">
        <v>76</v>
      </c>
      <c r="C62" s="273">
        <v>14</v>
      </c>
      <c r="D62" s="421">
        <f>'6  CO2'!E11</f>
        <v>4041.5593333333213</v>
      </c>
      <c r="E62" s="424">
        <f t="shared" si="2"/>
        <v>285384615384.61536</v>
      </c>
      <c r="F62" s="420">
        <f>(D62*E62)/'EmUSD - EmR$'!$C$8</f>
        <v>349.51480481740373</v>
      </c>
    </row>
    <row r="63" spans="1:6" x14ac:dyDescent="0.2">
      <c r="B63" s="272" t="s">
        <v>78</v>
      </c>
      <c r="C63" s="273">
        <v>20</v>
      </c>
      <c r="D63" s="421">
        <f>'6  CO2'!E13</f>
        <v>3998.417333333321</v>
      </c>
      <c r="E63" s="424">
        <f>($E$64*C63)/$C$64</f>
        <v>407692307692.30768</v>
      </c>
      <c r="F63" s="420">
        <f>(D63*E63)/'EmUSD - EmR$'!$C$8</f>
        <v>493.97696658896507</v>
      </c>
    </row>
    <row r="64" spans="1:6" x14ac:dyDescent="0.2">
      <c r="B64" s="272" t="s">
        <v>80</v>
      </c>
      <c r="C64" s="273">
        <v>26</v>
      </c>
      <c r="D64" s="421">
        <f>'6  CO2'!E15</f>
        <v>4327.3473333333213</v>
      </c>
      <c r="E64" s="356">
        <v>530000000000</v>
      </c>
      <c r="F64" s="420">
        <f>(D64*E64)/'EmUSD - EmR$'!$C$8</f>
        <v>694.99820808080619</v>
      </c>
    </row>
    <row r="65" spans="1:6" x14ac:dyDescent="0.2">
      <c r="B65" s="277" t="s">
        <v>82</v>
      </c>
      <c r="C65" s="278">
        <v>200</v>
      </c>
      <c r="D65" s="422">
        <f>'6  CO2'!E17</f>
        <v>5397.7573333333212</v>
      </c>
      <c r="E65" s="352">
        <v>2300000000000</v>
      </c>
      <c r="F65" s="422">
        <f>(D65*E65)/'EmUSD - EmR$'!$C$8</f>
        <v>3762.0732929292844</v>
      </c>
    </row>
    <row r="66" spans="1:6" x14ac:dyDescent="0.2">
      <c r="B66" s="117" t="s">
        <v>343</v>
      </c>
    </row>
    <row r="68" spans="1:6" x14ac:dyDescent="0.2">
      <c r="A68" s="117">
        <v>36</v>
      </c>
      <c r="B68" s="653" t="s">
        <v>346</v>
      </c>
      <c r="C68" s="653"/>
      <c r="D68" s="653"/>
      <c r="E68" s="653"/>
    </row>
    <row r="69" spans="1:6" ht="27" x14ac:dyDescent="0.2">
      <c r="B69" s="115" t="s">
        <v>99</v>
      </c>
      <c r="C69" s="115" t="s">
        <v>100</v>
      </c>
      <c r="D69" s="188" t="s">
        <v>386</v>
      </c>
      <c r="E69" s="320" t="s">
        <v>340</v>
      </c>
      <c r="F69" s="191" t="s">
        <v>387</v>
      </c>
    </row>
    <row r="70" spans="1:6" x14ac:dyDescent="0.2">
      <c r="B70" s="316" t="s">
        <v>70</v>
      </c>
      <c r="C70" s="317">
        <v>1.5</v>
      </c>
      <c r="D70" s="419">
        <f>'7 CH4'!F7</f>
        <v>13.965234796278375</v>
      </c>
      <c r="E70" s="359">
        <v>43500</v>
      </c>
      <c r="F70" s="463">
        <f>(D70*E70)/'EmUSD - EmR$'!$C$8</f>
        <v>1.8408718595094219E-7</v>
      </c>
    </row>
    <row r="71" spans="1:6" x14ac:dyDescent="0.2">
      <c r="B71" s="272" t="s">
        <v>72</v>
      </c>
      <c r="C71" s="273">
        <v>5</v>
      </c>
      <c r="D71" s="420">
        <f>'7 CH4'!F9</f>
        <v>30.188576416180801</v>
      </c>
      <c r="E71" s="360">
        <v>43500</v>
      </c>
      <c r="F71" s="464">
        <f>(D71*E71)/'EmUSD - EmR$'!$C$8</f>
        <v>3.9794032548601966E-7</v>
      </c>
    </row>
    <row r="72" spans="1:6" x14ac:dyDescent="0.2">
      <c r="B72" s="272" t="s">
        <v>74</v>
      </c>
      <c r="C72" s="273">
        <v>8</v>
      </c>
      <c r="D72" s="421">
        <f>'7 CH4'!F11</f>
        <v>27.044507101467868</v>
      </c>
      <c r="E72" s="360">
        <v>43500</v>
      </c>
      <c r="F72" s="464">
        <f>(D72*E72)/'EmUSD - EmR$'!$C$8</f>
        <v>3.5649577542844009E-7</v>
      </c>
    </row>
    <row r="73" spans="1:6" x14ac:dyDescent="0.2">
      <c r="B73" s="272" t="s">
        <v>76</v>
      </c>
      <c r="C73" s="273">
        <v>14</v>
      </c>
      <c r="D73" s="421">
        <f>'7 CH4'!F13</f>
        <v>38.261016414718384</v>
      </c>
      <c r="E73" s="360">
        <v>43500</v>
      </c>
      <c r="F73" s="464">
        <f>(D73*E73)/'EmUSD - EmR$'!$C$8</f>
        <v>5.0434976183037866E-7</v>
      </c>
    </row>
    <row r="74" spans="1:6" x14ac:dyDescent="0.2">
      <c r="B74" s="272" t="s">
        <v>78</v>
      </c>
      <c r="C74" s="273">
        <v>20</v>
      </c>
      <c r="D74" s="421">
        <f>'7 CH4'!F15</f>
        <v>37.852595645895384</v>
      </c>
      <c r="E74" s="360">
        <v>43500</v>
      </c>
      <c r="F74" s="464">
        <f>(D74*E74)/'EmUSD - EmR$'!$C$8</f>
        <v>4.9896603351407556E-7</v>
      </c>
    </row>
    <row r="75" spans="1:6" x14ac:dyDescent="0.2">
      <c r="B75" s="272" t="s">
        <v>80</v>
      </c>
      <c r="C75" s="273">
        <v>26</v>
      </c>
      <c r="D75" s="421">
        <f>'7 CH4'!F17</f>
        <v>40.966541301844345</v>
      </c>
      <c r="E75" s="360">
        <v>43500</v>
      </c>
      <c r="F75" s="464">
        <f>(D75*E75)/'EmUSD - EmR$'!$C$8</f>
        <v>5.4001349897885728E-7</v>
      </c>
    </row>
    <row r="76" spans="1:6" x14ac:dyDescent="0.2">
      <c r="B76" s="277" t="s">
        <v>82</v>
      </c>
      <c r="C76" s="278">
        <v>200</v>
      </c>
      <c r="D76" s="422">
        <f>'7 CH4'!F19</f>
        <v>51.099999999999994</v>
      </c>
      <c r="E76" s="361">
        <v>43500</v>
      </c>
      <c r="F76" s="465">
        <f>(D76*E76)/'EmUSD - EmR$'!$C$8</f>
        <v>6.7359090909090892E-7</v>
      </c>
    </row>
    <row r="77" spans="1:6" x14ac:dyDescent="0.2">
      <c r="B77" s="117" t="s">
        <v>385</v>
      </c>
      <c r="F77" s="319"/>
    </row>
    <row r="80" spans="1:6" x14ac:dyDescent="0.2">
      <c r="A80" s="117">
        <v>37</v>
      </c>
      <c r="B80" s="653" t="s">
        <v>347</v>
      </c>
      <c r="C80" s="653"/>
      <c r="D80" s="653"/>
      <c r="E80" s="653"/>
    </row>
    <row r="81" spans="1:6" ht="25.5" x14ac:dyDescent="0.2">
      <c r="B81" s="115" t="s">
        <v>99</v>
      </c>
      <c r="C81" s="115" t="s">
        <v>100</v>
      </c>
      <c r="D81" s="365" t="s">
        <v>449</v>
      </c>
      <c r="E81" s="320" t="s">
        <v>340</v>
      </c>
      <c r="F81" s="191" t="s">
        <v>387</v>
      </c>
    </row>
    <row r="82" spans="1:6" x14ac:dyDescent="0.2">
      <c r="B82" s="316" t="s">
        <v>70</v>
      </c>
      <c r="C82" s="317">
        <v>1.5</v>
      </c>
      <c r="D82" s="363">
        <v>360</v>
      </c>
      <c r="E82" s="362">
        <v>720000000000</v>
      </c>
      <c r="F82" s="416">
        <f>(D82*E82)/'EmUSD - EmR$'!$C$8</f>
        <v>78.545454545454547</v>
      </c>
    </row>
    <row r="83" spans="1:6" x14ac:dyDescent="0.2">
      <c r="B83" s="272" t="s">
        <v>72</v>
      </c>
      <c r="C83" s="273">
        <v>5</v>
      </c>
      <c r="D83" s="364">
        <f>'19-31 Restauração'!$F$25-'19-31 Restauração'!$F$26</f>
        <v>360</v>
      </c>
      <c r="E83" s="424">
        <f t="shared" ref="E83:E85" si="3">($E$87*C83)/$C$87</f>
        <v>121153846153.84616</v>
      </c>
      <c r="F83" s="417">
        <f>(D83*E83)/'EmUSD - EmR$'!$C$8</f>
        <v>13.216783216783217</v>
      </c>
    </row>
    <row r="84" spans="1:6" x14ac:dyDescent="0.2">
      <c r="B84" s="272" t="s">
        <v>74</v>
      </c>
      <c r="C84" s="273">
        <v>8</v>
      </c>
      <c r="D84" s="364">
        <f>'19-31 Restauração'!$F$25-'19-31 Restauração'!$F$26</f>
        <v>360</v>
      </c>
      <c r="E84" s="424">
        <f t="shared" si="3"/>
        <v>193846153846.15384</v>
      </c>
      <c r="F84" s="417">
        <f>(D84*E84)/'EmUSD - EmR$'!$C$8</f>
        <v>21.146853146853147</v>
      </c>
    </row>
    <row r="85" spans="1:6" x14ac:dyDescent="0.2">
      <c r="B85" s="272" t="s">
        <v>76</v>
      </c>
      <c r="C85" s="273">
        <v>14</v>
      </c>
      <c r="D85" s="364">
        <f>'19-31 Restauração'!$F$25-'19-31 Restauração'!$F$26</f>
        <v>360</v>
      </c>
      <c r="E85" s="424">
        <f t="shared" si="3"/>
        <v>339230769230.76923</v>
      </c>
      <c r="F85" s="417">
        <f>(D85*E85)/'EmUSD - EmR$'!$C$8</f>
        <v>37.006993006993007</v>
      </c>
    </row>
    <row r="86" spans="1:6" x14ac:dyDescent="0.2">
      <c r="B86" s="272" t="s">
        <v>78</v>
      </c>
      <c r="C86" s="273">
        <v>20</v>
      </c>
      <c r="D86" s="364">
        <f>'19-31 Restauração'!$F$25-'19-31 Restauração'!$F$26</f>
        <v>360</v>
      </c>
      <c r="E86" s="424">
        <f>($E$87*C86)/$C$87</f>
        <v>484615384615.38464</v>
      </c>
      <c r="F86" s="417">
        <f>(D86*E86)/'EmUSD - EmR$'!$C$8</f>
        <v>52.867132867132867</v>
      </c>
    </row>
    <row r="87" spans="1:6" x14ac:dyDescent="0.2">
      <c r="B87" s="272" t="s">
        <v>80</v>
      </c>
      <c r="C87" s="273">
        <v>26</v>
      </c>
      <c r="D87" s="364">
        <f>'19-31 Restauração'!$F$25-'19-31 Restauração'!$F$26</f>
        <v>360</v>
      </c>
      <c r="E87" s="356">
        <v>630000000000</v>
      </c>
      <c r="F87" s="417">
        <f>(D87*E87)/'EmUSD - EmR$'!$C$8</f>
        <v>68.727272727272734</v>
      </c>
    </row>
    <row r="88" spans="1:6" x14ac:dyDescent="0.2">
      <c r="B88" s="277" t="s">
        <v>82</v>
      </c>
      <c r="C88" s="278">
        <v>200</v>
      </c>
      <c r="D88" s="366">
        <f>'19-31 Restauração'!F25-'19-31 Restauração'!F27:F27</f>
        <v>396</v>
      </c>
      <c r="E88" s="352">
        <v>1300000000000</v>
      </c>
      <c r="F88" s="418">
        <f>(D88*E88)/'EmUSD - EmR$'!$C$8</f>
        <v>156</v>
      </c>
    </row>
    <row r="92" spans="1:6" x14ac:dyDescent="0.2">
      <c r="A92" s="117">
        <v>38</v>
      </c>
      <c r="B92" s="653" t="s">
        <v>404</v>
      </c>
      <c r="C92" s="653"/>
      <c r="D92" s="653"/>
      <c r="E92" s="653"/>
    </row>
    <row r="93" spans="1:6" x14ac:dyDescent="0.2">
      <c r="B93" s="115" t="s">
        <v>99</v>
      </c>
      <c r="C93" s="115" t="s">
        <v>100</v>
      </c>
      <c r="D93" s="430" t="s">
        <v>405</v>
      </c>
      <c r="E93" s="320" t="s">
        <v>340</v>
      </c>
      <c r="F93" s="162" t="s">
        <v>387</v>
      </c>
    </row>
    <row r="94" spans="1:6" x14ac:dyDescent="0.2">
      <c r="B94" s="316" t="s">
        <v>70</v>
      </c>
      <c r="C94" s="317">
        <v>1.5</v>
      </c>
      <c r="D94" s="451"/>
      <c r="E94" s="356">
        <v>48</v>
      </c>
      <c r="F94" s="417">
        <f>(D94*E94)/'EmUSD - EmR$'!$C$8</f>
        <v>0</v>
      </c>
    </row>
    <row r="95" spans="1:6" x14ac:dyDescent="0.2">
      <c r="B95" s="272" t="s">
        <v>72</v>
      </c>
      <c r="C95" s="273">
        <v>5</v>
      </c>
      <c r="D95" s="452"/>
      <c r="E95" s="356">
        <v>48</v>
      </c>
      <c r="F95" s="417">
        <f>(D95*E95)/'EmUSD - EmR$'!$C$8</f>
        <v>0</v>
      </c>
    </row>
    <row r="96" spans="1:6" x14ac:dyDescent="0.2">
      <c r="B96" s="272" t="s">
        <v>74</v>
      </c>
      <c r="C96" s="273">
        <v>8</v>
      </c>
      <c r="D96" s="452"/>
      <c r="E96" s="356">
        <v>48</v>
      </c>
      <c r="F96" s="417">
        <f>(D96*E96)/'EmUSD - EmR$'!$C$8</f>
        <v>0</v>
      </c>
    </row>
    <row r="97" spans="2:6" x14ac:dyDescent="0.2">
      <c r="B97" s="272" t="s">
        <v>76</v>
      </c>
      <c r="C97" s="273">
        <v>14</v>
      </c>
      <c r="D97" s="452"/>
      <c r="E97" s="356">
        <v>48</v>
      </c>
      <c r="F97" s="417">
        <f>(D97*E97)/'EmUSD - EmR$'!$C$8</f>
        <v>0</v>
      </c>
    </row>
    <row r="98" spans="2:6" x14ac:dyDescent="0.2">
      <c r="B98" s="272" t="s">
        <v>78</v>
      </c>
      <c r="C98" s="273">
        <v>20</v>
      </c>
      <c r="D98" s="452"/>
      <c r="E98" s="356">
        <v>48</v>
      </c>
      <c r="F98" s="417">
        <f>(D98*E98)/'EmUSD - EmR$'!$C$8</f>
        <v>0</v>
      </c>
    </row>
    <row r="99" spans="2:6" x14ac:dyDescent="0.2">
      <c r="B99" s="272" t="s">
        <v>80</v>
      </c>
      <c r="C99" s="273">
        <v>26</v>
      </c>
      <c r="D99" s="452"/>
      <c r="E99" s="356">
        <v>48</v>
      </c>
      <c r="F99" s="417">
        <f>(D99*E99)/'EmUSD - EmR$'!$C$8</f>
        <v>0</v>
      </c>
    </row>
    <row r="100" spans="2:6" x14ac:dyDescent="0.2">
      <c r="B100" s="277" t="s">
        <v>82</v>
      </c>
      <c r="C100" s="278">
        <v>200</v>
      </c>
      <c r="D100" s="453"/>
      <c r="E100" s="352">
        <v>48</v>
      </c>
      <c r="F100" s="418">
        <f>(D100*E100)/'EmUSD - EmR$'!$C$8</f>
        <v>0</v>
      </c>
    </row>
    <row r="101" spans="2:6" x14ac:dyDescent="0.2">
      <c r="B101" s="117" t="s">
        <v>343</v>
      </c>
    </row>
  </sheetData>
  <mergeCells count="8">
    <mergeCell ref="B8:E8"/>
    <mergeCell ref="B21:E21"/>
    <mergeCell ref="B92:E92"/>
    <mergeCell ref="B34:E34"/>
    <mergeCell ref="B46:E46"/>
    <mergeCell ref="B57:E57"/>
    <mergeCell ref="B68:E68"/>
    <mergeCell ref="B80:E8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0"/>
  </sheetPr>
  <dimension ref="F5:J21"/>
  <sheetViews>
    <sheetView showGridLines="0" zoomScaleNormal="100" workbookViewId="0">
      <selection activeCell="A3" sqref="A3"/>
    </sheetView>
  </sheetViews>
  <sheetFormatPr defaultRowHeight="20.100000000000001" customHeight="1" x14ac:dyDescent="0.25"/>
  <cols>
    <col min="1" max="1" width="9.140625" style="20"/>
    <col min="2" max="2" width="7" style="20" customWidth="1"/>
    <col min="3" max="3" width="7.5703125" style="20" customWidth="1"/>
    <col min="4" max="4" width="11.5703125" style="20" customWidth="1"/>
    <col min="5" max="5" width="4.85546875" style="20" customWidth="1"/>
    <col min="6" max="6" width="8.7109375" style="20" customWidth="1"/>
    <col min="7" max="7" width="9.140625" style="20"/>
    <col min="8" max="8" width="12.5703125" style="20" customWidth="1"/>
    <col min="9" max="9" width="46.28515625" style="21" customWidth="1"/>
    <col min="10" max="10" width="14" style="20" customWidth="1"/>
    <col min="11" max="11" width="4.5703125" style="20" customWidth="1"/>
    <col min="12" max="16384" width="9.140625" style="20"/>
  </cols>
  <sheetData>
    <row r="5" spans="6:10" s="19" customFormat="1" ht="20.100000000000001" customHeight="1" x14ac:dyDescent="0.25">
      <c r="F5" s="586" t="s">
        <v>51</v>
      </c>
      <c r="G5" s="587"/>
      <c r="H5" s="587"/>
      <c r="I5" s="587"/>
      <c r="J5" s="588"/>
    </row>
    <row r="6" spans="6:10" ht="20.100000000000001" customHeight="1" x14ac:dyDescent="0.25">
      <c r="F6" s="8"/>
      <c r="G6" s="27"/>
      <c r="H6" s="27"/>
      <c r="I6" s="7"/>
      <c r="J6" s="11"/>
    </row>
    <row r="7" spans="6:10" ht="20.100000000000001" customHeight="1" x14ac:dyDescent="0.25">
      <c r="F7" s="10"/>
      <c r="G7" s="589" t="s">
        <v>53</v>
      </c>
      <c r="H7" s="589"/>
      <c r="I7" s="1" t="s">
        <v>43</v>
      </c>
      <c r="J7" s="12"/>
    </row>
    <row r="8" spans="6:10" ht="20.100000000000001" customHeight="1" x14ac:dyDescent="0.25">
      <c r="F8" s="10"/>
      <c r="G8" s="25"/>
      <c r="H8" s="26"/>
      <c r="I8" s="1"/>
      <c r="J8" s="12"/>
    </row>
    <row r="9" spans="6:10" ht="20.100000000000001" customHeight="1" x14ac:dyDescent="0.25">
      <c r="F9" s="10"/>
      <c r="G9" s="590" t="s">
        <v>52</v>
      </c>
      <c r="H9" s="590"/>
      <c r="I9" s="1" t="s">
        <v>408</v>
      </c>
      <c r="J9" s="12"/>
    </row>
    <row r="10" spans="6:10" ht="20.100000000000001" customHeight="1" x14ac:dyDescent="0.25">
      <c r="F10" s="10"/>
      <c r="G10" s="25"/>
      <c r="H10" s="25"/>
      <c r="I10" s="1"/>
      <c r="J10" s="12"/>
    </row>
    <row r="11" spans="6:10" ht="20.100000000000001" customHeight="1" x14ac:dyDescent="0.25">
      <c r="F11" s="10"/>
      <c r="G11" s="591" t="s">
        <v>47</v>
      </c>
      <c r="H11" s="591"/>
      <c r="I11" s="1" t="s">
        <v>44</v>
      </c>
      <c r="J11" s="12"/>
    </row>
    <row r="12" spans="6:10" ht="20.100000000000001" customHeight="1" x14ac:dyDescent="0.25">
      <c r="F12" s="10"/>
      <c r="G12" s="25"/>
      <c r="H12" s="25"/>
      <c r="I12" s="1"/>
      <c r="J12" s="12"/>
    </row>
    <row r="13" spans="6:10" ht="20.100000000000001" customHeight="1" x14ac:dyDescent="0.25">
      <c r="F13" s="10"/>
      <c r="G13" s="592" t="s">
        <v>48</v>
      </c>
      <c r="H13" s="592"/>
      <c r="I13" s="1" t="s">
        <v>45</v>
      </c>
      <c r="J13" s="12"/>
    </row>
    <row r="14" spans="6:10" ht="20.100000000000001" customHeight="1" x14ac:dyDescent="0.25">
      <c r="F14" s="10"/>
      <c r="G14" s="25"/>
      <c r="H14" s="25"/>
      <c r="I14" s="1"/>
      <c r="J14" s="12"/>
    </row>
    <row r="15" spans="6:10" ht="20.100000000000001" customHeight="1" x14ac:dyDescent="0.25">
      <c r="F15" s="10"/>
      <c r="G15" s="584" t="s">
        <v>49</v>
      </c>
      <c r="H15" s="584"/>
      <c r="I15" s="1" t="s">
        <v>56</v>
      </c>
      <c r="J15" s="12"/>
    </row>
    <row r="16" spans="6:10" ht="20.100000000000001" customHeight="1" x14ac:dyDescent="0.25">
      <c r="F16" s="10"/>
      <c r="G16" s="25"/>
      <c r="H16" s="25"/>
      <c r="I16" s="1"/>
      <c r="J16" s="12"/>
    </row>
    <row r="17" spans="6:10" ht="20.100000000000001" customHeight="1" x14ac:dyDescent="0.25">
      <c r="F17" s="10"/>
      <c r="G17" s="585" t="s">
        <v>50</v>
      </c>
      <c r="H17" s="585"/>
      <c r="I17" s="1" t="s">
        <v>46</v>
      </c>
      <c r="J17" s="12"/>
    </row>
    <row r="18" spans="6:10" ht="20.100000000000001" customHeight="1" x14ac:dyDescent="0.25">
      <c r="F18" s="29"/>
      <c r="G18" s="28"/>
      <c r="H18" s="28"/>
      <c r="I18" s="4"/>
      <c r="J18" s="13"/>
    </row>
    <row r="19" spans="6:10" ht="20.100000000000001" customHeight="1" x14ac:dyDescent="0.25">
      <c r="F19" s="16"/>
      <c r="G19" s="16"/>
      <c r="I19" s="20"/>
    </row>
    <row r="20" spans="6:10" ht="20.100000000000001" customHeight="1" x14ac:dyDescent="0.25">
      <c r="F20" s="16"/>
      <c r="G20" s="16"/>
      <c r="H20" s="16"/>
      <c r="I20" s="15"/>
    </row>
    <row r="21" spans="6:10" ht="20.100000000000001" customHeight="1" x14ac:dyDescent="0.25">
      <c r="F21" s="16"/>
      <c r="G21" s="16"/>
      <c r="H21" s="16"/>
      <c r="I21" s="15"/>
    </row>
  </sheetData>
  <mergeCells count="7">
    <mergeCell ref="G15:H15"/>
    <mergeCell ref="G17:H17"/>
    <mergeCell ref="F5:J5"/>
    <mergeCell ref="G7:H7"/>
    <mergeCell ref="G9:H9"/>
    <mergeCell ref="G11:H11"/>
    <mergeCell ref="G13:H13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N48"/>
  <sheetViews>
    <sheetView showGridLines="0" zoomScaleNormal="100" workbookViewId="0">
      <selection activeCell="A9" sqref="A9"/>
    </sheetView>
  </sheetViews>
  <sheetFormatPr defaultRowHeight="12.75" x14ac:dyDescent="0.25"/>
  <cols>
    <col min="1" max="1" width="9.140625" style="30"/>
    <col min="2" max="2" width="16.42578125" style="30" customWidth="1"/>
    <col min="3" max="3" width="22" style="39" customWidth="1"/>
    <col min="4" max="4" width="14.28515625" style="30" customWidth="1"/>
    <col min="5" max="5" width="13.42578125" style="30" bestFit="1" customWidth="1"/>
    <col min="6" max="6" width="14.7109375" style="30" bestFit="1" customWidth="1"/>
    <col min="7" max="7" width="11.5703125" style="30" bestFit="1" customWidth="1"/>
    <col min="8" max="8" width="11.5703125" style="30" customWidth="1"/>
    <col min="9" max="9" width="3.5703125" style="30" customWidth="1"/>
    <col min="10" max="10" width="16.5703125" style="30" customWidth="1"/>
    <col min="11" max="11" width="17.140625" style="30" customWidth="1"/>
    <col min="12" max="12" width="10.140625" style="30" bestFit="1" customWidth="1"/>
    <col min="13" max="13" width="21.42578125" style="30" bestFit="1" customWidth="1"/>
    <col min="14" max="14" width="12.140625" style="30" customWidth="1"/>
    <col min="15" max="15" width="9.140625" style="30"/>
    <col min="16" max="16" width="18" style="30" customWidth="1"/>
    <col min="17" max="16384" width="9.140625" style="30"/>
  </cols>
  <sheetData>
    <row r="3" spans="2:14" ht="15" x14ac:dyDescent="0.25">
      <c r="D3" s="48"/>
    </row>
    <row r="8" spans="2:14" ht="15" x14ac:dyDescent="0.25">
      <c r="B8" s="30" t="s">
        <v>455</v>
      </c>
      <c r="C8" s="594" t="s">
        <v>96</v>
      </c>
      <c r="D8" s="594"/>
      <c r="E8" s="594"/>
      <c r="F8" s="594"/>
      <c r="G8" s="594"/>
      <c r="H8" s="43"/>
    </row>
    <row r="9" spans="2:14" x14ac:dyDescent="0.25">
      <c r="B9" s="30" t="s">
        <v>454</v>
      </c>
      <c r="C9" s="30"/>
    </row>
    <row r="10" spans="2:14" ht="15" customHeight="1" x14ac:dyDescent="0.25">
      <c r="C10" s="30"/>
    </row>
    <row r="11" spans="2:14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2:14" x14ac:dyDescent="0.25">
      <c r="B12" s="50" t="s">
        <v>458</v>
      </c>
      <c r="C12" s="50"/>
      <c r="D12" s="50"/>
      <c r="E12" s="50"/>
      <c r="F12" s="50"/>
      <c r="G12" s="50"/>
      <c r="H12" s="52"/>
      <c r="I12" s="31"/>
      <c r="J12" s="51" t="s">
        <v>456</v>
      </c>
      <c r="K12" s="51"/>
      <c r="M12" s="593" t="s">
        <v>457</v>
      </c>
      <c r="N12" s="593"/>
    </row>
    <row r="13" spans="2:14" ht="14.25" x14ac:dyDescent="0.25">
      <c r="B13" s="69" t="s">
        <v>99</v>
      </c>
      <c r="C13" s="42" t="s">
        <v>100</v>
      </c>
      <c r="D13" s="42" t="s">
        <v>101</v>
      </c>
      <c r="E13" s="42" t="s">
        <v>102</v>
      </c>
      <c r="F13" s="42" t="s">
        <v>103</v>
      </c>
      <c r="G13" s="42" t="s">
        <v>104</v>
      </c>
      <c r="H13" s="42" t="s">
        <v>107</v>
      </c>
      <c r="I13" s="101"/>
      <c r="J13" s="49" t="s">
        <v>97</v>
      </c>
      <c r="K13" s="2" t="s">
        <v>60</v>
      </c>
      <c r="M13" s="32" t="s">
        <v>98</v>
      </c>
      <c r="N13" s="32" t="s">
        <v>39</v>
      </c>
    </row>
    <row r="14" spans="2:14" ht="15" x14ac:dyDescent="0.25">
      <c r="B14" s="272" t="s">
        <v>71</v>
      </c>
      <c r="C14" s="276">
        <v>1</v>
      </c>
      <c r="D14" s="302">
        <f>K26</f>
        <v>5.17</v>
      </c>
      <c r="E14" s="303">
        <f>N14</f>
        <v>30</v>
      </c>
      <c r="F14" s="102">
        <f>D14*10000*365</f>
        <v>18870500</v>
      </c>
      <c r="G14" s="99">
        <f>F14*3600000*((100-E14)/100)</f>
        <v>47553660000000</v>
      </c>
      <c r="H14" s="92">
        <f>G14*C14</f>
        <v>47553660000000</v>
      </c>
      <c r="I14" s="101"/>
      <c r="J14" s="46" t="s">
        <v>84</v>
      </c>
      <c r="K14" s="307">
        <v>5.8</v>
      </c>
      <c r="M14" s="9">
        <v>0</v>
      </c>
      <c r="N14" s="309">
        <v>30</v>
      </c>
    </row>
    <row r="15" spans="2:14" ht="15" x14ac:dyDescent="0.25">
      <c r="B15" s="272" t="s">
        <v>70</v>
      </c>
      <c r="C15" s="273">
        <v>1.5</v>
      </c>
      <c r="D15" s="302">
        <v>5.17</v>
      </c>
      <c r="E15" s="304">
        <f>N15</f>
        <v>29.9909</v>
      </c>
      <c r="F15" s="102">
        <f>D15*10000*365</f>
        <v>18870500</v>
      </c>
      <c r="G15" s="92">
        <f>F15*3600000*((100-E15)/100)</f>
        <v>47559841975800</v>
      </c>
      <c r="H15" s="92">
        <f t="shared" ref="H15:H27" si="0">G15*C15</f>
        <v>71339762963700</v>
      </c>
      <c r="I15" s="101"/>
      <c r="J15" s="44" t="s">
        <v>85</v>
      </c>
      <c r="K15" s="302">
        <v>5.69</v>
      </c>
      <c r="M15" s="9">
        <v>1</v>
      </c>
      <c r="N15" s="310">
        <v>29.9909</v>
      </c>
    </row>
    <row r="16" spans="2:14" ht="15" x14ac:dyDescent="0.25">
      <c r="B16" s="272" t="s">
        <v>73</v>
      </c>
      <c r="C16" s="273">
        <v>1</v>
      </c>
      <c r="D16" s="302">
        <v>5.17</v>
      </c>
      <c r="E16" s="303">
        <f>N14</f>
        <v>30</v>
      </c>
      <c r="F16" s="102">
        <f t="shared" ref="F16:F27" si="1">D16*10000*365</f>
        <v>18870500</v>
      </c>
      <c r="G16" s="92">
        <f t="shared" ref="G16:G26" si="2">F16*3600000*((100-E16)/100)</f>
        <v>47553660000000</v>
      </c>
      <c r="H16" s="92">
        <f t="shared" si="0"/>
        <v>47553660000000</v>
      </c>
      <c r="I16" s="101"/>
      <c r="J16" s="44" t="s">
        <v>86</v>
      </c>
      <c r="K16" s="302">
        <v>5.35</v>
      </c>
      <c r="M16" s="9">
        <v>2</v>
      </c>
      <c r="N16" s="310">
        <v>29.927440000000001</v>
      </c>
    </row>
    <row r="17" spans="2:14" ht="15" x14ac:dyDescent="0.25">
      <c r="B17" s="272" t="s">
        <v>72</v>
      </c>
      <c r="C17" s="273">
        <v>5</v>
      </c>
      <c r="D17" s="302">
        <v>5.17</v>
      </c>
      <c r="E17" s="304">
        <f>N19</f>
        <v>28.92334</v>
      </c>
      <c r="F17" s="102">
        <f t="shared" si="1"/>
        <v>18870500</v>
      </c>
      <c r="G17" s="92">
        <f t="shared" si="2"/>
        <v>48285076051080</v>
      </c>
      <c r="H17" s="92">
        <f t="shared" si="0"/>
        <v>241425380255400</v>
      </c>
      <c r="I17" s="101"/>
      <c r="J17" s="44" t="s">
        <v>87</v>
      </c>
      <c r="K17" s="302">
        <v>4.93</v>
      </c>
      <c r="M17" s="9">
        <v>3</v>
      </c>
      <c r="N17" s="310">
        <v>29.757190000000001</v>
      </c>
    </row>
    <row r="18" spans="2:14" ht="15" x14ac:dyDescent="0.25">
      <c r="B18" s="272" t="s">
        <v>75</v>
      </c>
      <c r="C18" s="273">
        <v>1</v>
      </c>
      <c r="D18" s="302">
        <v>5.17</v>
      </c>
      <c r="E18" s="303">
        <f>N14</f>
        <v>30</v>
      </c>
      <c r="F18" s="102">
        <f t="shared" si="1"/>
        <v>18870500</v>
      </c>
      <c r="G18" s="92">
        <f t="shared" si="2"/>
        <v>47553660000000</v>
      </c>
      <c r="H18" s="92">
        <f t="shared" si="0"/>
        <v>47553660000000</v>
      </c>
      <c r="I18" s="101"/>
      <c r="J18" s="44" t="s">
        <v>88</v>
      </c>
      <c r="K18" s="302">
        <v>4.05</v>
      </c>
      <c r="M18" s="9">
        <v>4</v>
      </c>
      <c r="N18" s="310">
        <v>29.433879999999998</v>
      </c>
    </row>
    <row r="19" spans="2:14" ht="15" x14ac:dyDescent="0.25">
      <c r="B19" s="272" t="s">
        <v>74</v>
      </c>
      <c r="C19" s="273">
        <v>8</v>
      </c>
      <c r="D19" s="302">
        <v>5.17</v>
      </c>
      <c r="E19" s="304">
        <f>N22</f>
        <v>26.220009999999998</v>
      </c>
      <c r="F19" s="102">
        <f t="shared" si="1"/>
        <v>18870500</v>
      </c>
      <c r="G19" s="92">
        <f t="shared" si="2"/>
        <v>50121550846620</v>
      </c>
      <c r="H19" s="92">
        <f t="shared" si="0"/>
        <v>400972406772960</v>
      </c>
      <c r="I19" s="101"/>
      <c r="J19" s="44" t="s">
        <v>89</v>
      </c>
      <c r="K19" s="302">
        <v>3.84</v>
      </c>
      <c r="M19" s="9">
        <v>5</v>
      </c>
      <c r="N19" s="310">
        <v>28.92334</v>
      </c>
    </row>
    <row r="20" spans="2:14" ht="15" x14ac:dyDescent="0.25">
      <c r="B20" s="272" t="s">
        <v>77</v>
      </c>
      <c r="C20" s="273">
        <v>1</v>
      </c>
      <c r="D20" s="302">
        <v>5.17</v>
      </c>
      <c r="E20" s="303">
        <f>N14</f>
        <v>30</v>
      </c>
      <c r="F20" s="102">
        <f t="shared" si="1"/>
        <v>18870500</v>
      </c>
      <c r="G20" s="92">
        <f t="shared" si="2"/>
        <v>47553660000000</v>
      </c>
      <c r="H20" s="92">
        <f t="shared" si="0"/>
        <v>47553660000000</v>
      </c>
      <c r="I20" s="101"/>
      <c r="J20" s="44" t="s">
        <v>90</v>
      </c>
      <c r="K20" s="302">
        <v>4.2</v>
      </c>
      <c r="M20" s="9">
        <v>6</v>
      </c>
      <c r="N20" s="310">
        <v>28.209700000000002</v>
      </c>
    </row>
    <row r="21" spans="2:14" ht="15" x14ac:dyDescent="0.25">
      <c r="B21" s="272" t="s">
        <v>76</v>
      </c>
      <c r="C21" s="273">
        <v>14</v>
      </c>
      <c r="D21" s="302">
        <v>5.17</v>
      </c>
      <c r="E21" s="304">
        <f>N28</f>
        <v>18.892939999999999</v>
      </c>
      <c r="F21" s="102">
        <f t="shared" si="1"/>
        <v>18870500</v>
      </c>
      <c r="G21" s="92">
        <f t="shared" si="2"/>
        <v>55099107926280.008</v>
      </c>
      <c r="H21" s="92">
        <f t="shared" si="0"/>
        <v>771387510967920.12</v>
      </c>
      <c r="I21" s="101"/>
      <c r="J21" s="44" t="s">
        <v>91</v>
      </c>
      <c r="K21" s="302">
        <v>4.8099999999999996</v>
      </c>
      <c r="M21" s="9">
        <v>7</v>
      </c>
      <c r="N21" s="310">
        <v>27.299209999999999</v>
      </c>
    </row>
    <row r="22" spans="2:14" ht="15" x14ac:dyDescent="0.25">
      <c r="B22" s="272" t="s">
        <v>79</v>
      </c>
      <c r="C22" s="273">
        <v>1</v>
      </c>
      <c r="D22" s="302">
        <v>5.17</v>
      </c>
      <c r="E22" s="303">
        <f>N14</f>
        <v>30</v>
      </c>
      <c r="F22" s="102">
        <f t="shared" si="1"/>
        <v>18870500</v>
      </c>
      <c r="G22" s="92">
        <f t="shared" si="2"/>
        <v>47553660000000</v>
      </c>
      <c r="H22" s="92">
        <f t="shared" si="0"/>
        <v>47553660000000</v>
      </c>
      <c r="I22" s="101"/>
      <c r="J22" s="44" t="s">
        <v>92</v>
      </c>
      <c r="K22" s="302">
        <v>4.99</v>
      </c>
      <c r="M22" s="9">
        <v>8</v>
      </c>
      <c r="N22" s="310">
        <v>26.220009999999998</v>
      </c>
    </row>
    <row r="23" spans="2:14" ht="15" x14ac:dyDescent="0.25">
      <c r="B23" s="272" t="s">
        <v>78</v>
      </c>
      <c r="C23" s="273">
        <v>20</v>
      </c>
      <c r="D23" s="302">
        <v>5.17</v>
      </c>
      <c r="E23" s="304">
        <f>N34</f>
        <v>14.30911</v>
      </c>
      <c r="F23" s="102">
        <f t="shared" si="1"/>
        <v>18870500</v>
      </c>
      <c r="G23" s="92">
        <f t="shared" si="2"/>
        <v>58213077830820</v>
      </c>
      <c r="H23" s="92">
        <f t="shared" si="0"/>
        <v>1164261556616400</v>
      </c>
      <c r="I23" s="101"/>
      <c r="J23" s="44" t="s">
        <v>93</v>
      </c>
      <c r="K23" s="302">
        <v>5.59</v>
      </c>
      <c r="M23" s="9">
        <v>9</v>
      </c>
      <c r="N23" s="310">
        <v>25.01709</v>
      </c>
    </row>
    <row r="24" spans="2:14" ht="15" x14ac:dyDescent="0.25">
      <c r="B24" s="272" t="s">
        <v>81</v>
      </c>
      <c r="C24" s="273">
        <v>1</v>
      </c>
      <c r="D24" s="302">
        <v>5.17</v>
      </c>
      <c r="E24" s="303">
        <f>N14</f>
        <v>30</v>
      </c>
      <c r="F24" s="102">
        <f t="shared" si="1"/>
        <v>18870500</v>
      </c>
      <c r="G24" s="92">
        <f t="shared" si="2"/>
        <v>47553660000000</v>
      </c>
      <c r="H24" s="92">
        <f t="shared" si="0"/>
        <v>47553660000000</v>
      </c>
      <c r="I24" s="101"/>
      <c r="J24" s="44" t="s">
        <v>94</v>
      </c>
      <c r="K24" s="302">
        <v>6.09</v>
      </c>
      <c r="M24" s="9">
        <v>10</v>
      </c>
      <c r="N24" s="310">
        <v>23.744140000000002</v>
      </c>
    </row>
    <row r="25" spans="2:14" ht="15" x14ac:dyDescent="0.25">
      <c r="B25" s="272" t="s">
        <v>80</v>
      </c>
      <c r="C25" s="273">
        <v>26</v>
      </c>
      <c r="D25" s="302">
        <v>5.17</v>
      </c>
      <c r="E25" s="304">
        <f>N40</f>
        <v>12.22222</v>
      </c>
      <c r="F25" s="102">
        <f t="shared" si="1"/>
        <v>18870500</v>
      </c>
      <c r="G25" s="92">
        <f>F25*3600000*((100-E25)/100)</f>
        <v>59630781509640</v>
      </c>
      <c r="H25" s="92">
        <f t="shared" si="0"/>
        <v>1550400319250640</v>
      </c>
      <c r="I25" s="101"/>
      <c r="J25" s="44" t="s">
        <v>95</v>
      </c>
      <c r="K25" s="302">
        <v>5.96</v>
      </c>
      <c r="M25" s="9">
        <v>11</v>
      </c>
      <c r="N25" s="310">
        <v>22.454650000000001</v>
      </c>
    </row>
    <row r="26" spans="2:14" ht="14.25" x14ac:dyDescent="0.25">
      <c r="B26" s="272" t="s">
        <v>83</v>
      </c>
      <c r="C26" s="273">
        <v>1</v>
      </c>
      <c r="D26" s="302">
        <v>5.17</v>
      </c>
      <c r="E26" s="303">
        <f>N14</f>
        <v>30</v>
      </c>
      <c r="F26" s="102">
        <f t="shared" si="1"/>
        <v>18870500</v>
      </c>
      <c r="G26" s="92">
        <f t="shared" si="2"/>
        <v>47553660000000</v>
      </c>
      <c r="H26" s="92">
        <f t="shared" si="0"/>
        <v>47553660000000</v>
      </c>
      <c r="I26" s="101"/>
      <c r="J26" s="45" t="s">
        <v>26</v>
      </c>
      <c r="K26" s="308">
        <f>MEDIAN(K14:K25)</f>
        <v>5.17</v>
      </c>
      <c r="M26" s="9">
        <v>12</v>
      </c>
      <c r="N26" s="310">
        <v>21.194900000000001</v>
      </c>
    </row>
    <row r="27" spans="2:14" x14ac:dyDescent="0.25">
      <c r="B27" s="277" t="s">
        <v>82</v>
      </c>
      <c r="C27" s="278">
        <v>200</v>
      </c>
      <c r="D27" s="305">
        <v>5.17</v>
      </c>
      <c r="E27" s="306">
        <f>N48</f>
        <v>10</v>
      </c>
      <c r="F27" s="103">
        <f t="shared" si="1"/>
        <v>18870500</v>
      </c>
      <c r="G27" s="93">
        <f>F27*3600000*((100-E27)/100)</f>
        <v>61140420000000</v>
      </c>
      <c r="H27" s="93">
        <f t="shared" si="0"/>
        <v>1.2228084E+16</v>
      </c>
      <c r="I27" s="101"/>
      <c r="J27" s="101"/>
      <c r="K27" s="101"/>
      <c r="M27" s="9">
        <v>13</v>
      </c>
      <c r="N27" s="310">
        <v>20</v>
      </c>
    </row>
    <row r="28" spans="2:14" x14ac:dyDescent="0.25">
      <c r="M28" s="9">
        <v>14</v>
      </c>
      <c r="N28" s="310">
        <v>18.892939999999999</v>
      </c>
    </row>
    <row r="29" spans="2:14" x14ac:dyDescent="0.25">
      <c r="M29" s="9">
        <v>15</v>
      </c>
      <c r="N29" s="310">
        <v>17.885860000000001</v>
      </c>
    </row>
    <row r="30" spans="2:14" x14ac:dyDescent="0.25">
      <c r="M30" s="9">
        <v>16</v>
      </c>
      <c r="N30" s="310">
        <v>16.98236</v>
      </c>
    </row>
    <row r="31" spans="2:14" x14ac:dyDescent="0.25">
      <c r="M31" s="9">
        <v>17</v>
      </c>
      <c r="N31" s="310">
        <v>16.180029999999999</v>
      </c>
    </row>
    <row r="32" spans="2:14" x14ac:dyDescent="0.25">
      <c r="M32" s="9">
        <v>18</v>
      </c>
      <c r="N32" s="310">
        <v>15.472659999999999</v>
      </c>
    </row>
    <row r="33" spans="13:14" x14ac:dyDescent="0.25">
      <c r="M33" s="9">
        <v>19</v>
      </c>
      <c r="N33" s="310">
        <v>14.852029999999999</v>
      </c>
    </row>
    <row r="34" spans="13:14" x14ac:dyDescent="0.25">
      <c r="M34" s="9">
        <v>20</v>
      </c>
      <c r="N34" s="310">
        <v>14.30911</v>
      </c>
    </row>
    <row r="35" spans="13:14" x14ac:dyDescent="0.25">
      <c r="M35" s="9">
        <v>21</v>
      </c>
      <c r="N35" s="310">
        <v>13.83488</v>
      </c>
    </row>
    <row r="36" spans="13:14" x14ac:dyDescent="0.25">
      <c r="M36" s="9">
        <v>22</v>
      </c>
      <c r="N36" s="310">
        <v>13.42079</v>
      </c>
    </row>
    <row r="37" spans="13:14" x14ac:dyDescent="0.25">
      <c r="M37" s="9">
        <v>23</v>
      </c>
      <c r="N37" s="310">
        <v>13.05904</v>
      </c>
    </row>
    <row r="38" spans="13:14" x14ac:dyDescent="0.25">
      <c r="M38" s="9">
        <v>24</v>
      </c>
      <c r="N38" s="310">
        <v>12.742649999999999</v>
      </c>
    </row>
    <row r="39" spans="13:14" x14ac:dyDescent="0.25">
      <c r="M39" s="9">
        <v>25</v>
      </c>
      <c r="N39" s="310">
        <v>12.465490000000001</v>
      </c>
    </row>
    <row r="40" spans="13:14" x14ac:dyDescent="0.25">
      <c r="M40" s="9">
        <v>26</v>
      </c>
      <c r="N40" s="310">
        <v>12.22222</v>
      </c>
    </row>
    <row r="41" spans="13:14" x14ac:dyDescent="0.25">
      <c r="M41" s="9">
        <v>27</v>
      </c>
      <c r="N41" s="310">
        <v>11.7680842857143</v>
      </c>
    </row>
    <row r="42" spans="13:14" x14ac:dyDescent="0.25">
      <c r="M42" s="9">
        <v>28</v>
      </c>
      <c r="N42" s="310">
        <v>11.4224560714286</v>
      </c>
    </row>
    <row r="43" spans="13:14" x14ac:dyDescent="0.25">
      <c r="M43" s="9">
        <v>29</v>
      </c>
      <c r="N43" s="310">
        <v>11.0768278571429</v>
      </c>
    </row>
    <row r="44" spans="13:14" x14ac:dyDescent="0.25">
      <c r="M44" s="9">
        <v>30</v>
      </c>
      <c r="N44" s="310">
        <v>10.731199642857099</v>
      </c>
    </row>
    <row r="45" spans="13:14" x14ac:dyDescent="0.25">
      <c r="M45" s="9">
        <v>31</v>
      </c>
      <c r="N45" s="310">
        <v>10.385571428571399</v>
      </c>
    </row>
    <row r="46" spans="13:14" x14ac:dyDescent="0.25">
      <c r="M46" s="9">
        <v>32</v>
      </c>
      <c r="N46" s="310">
        <v>10.039943214285699</v>
      </c>
    </row>
    <row r="47" spans="13:14" x14ac:dyDescent="0.25">
      <c r="M47" s="273" t="s">
        <v>105</v>
      </c>
      <c r="N47" s="309">
        <v>10</v>
      </c>
    </row>
    <row r="48" spans="13:14" x14ac:dyDescent="0.25">
      <c r="M48" s="278" t="s">
        <v>106</v>
      </c>
      <c r="N48" s="311">
        <v>10</v>
      </c>
    </row>
  </sheetData>
  <mergeCells count="2">
    <mergeCell ref="M12:N12"/>
    <mergeCell ref="C8:G8"/>
  </mergeCells>
  <hyperlinks>
    <hyperlink ref="C8" r:id="rId1"/>
  </hyperlinks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FFFF00"/>
  </sheetPr>
  <dimension ref="B1:K18"/>
  <sheetViews>
    <sheetView showGridLines="0" zoomScaleNormal="100" workbookViewId="0">
      <selection activeCell="N31" sqref="N31"/>
    </sheetView>
  </sheetViews>
  <sheetFormatPr defaultRowHeight="15" customHeight="1" x14ac:dyDescent="0.25"/>
  <cols>
    <col min="1" max="2" width="14.7109375" style="53" customWidth="1"/>
    <col min="3" max="3" width="15.28515625" style="53" bestFit="1" customWidth="1"/>
    <col min="4" max="4" width="14.140625" style="53" bestFit="1" customWidth="1"/>
    <col min="5" max="5" width="14.140625" style="53" customWidth="1"/>
    <col min="6" max="6" width="12.5703125" style="53" bestFit="1" customWidth="1"/>
    <col min="7" max="7" width="10.140625" style="38" customWidth="1"/>
    <col min="8" max="8" width="13.42578125" style="53" bestFit="1" customWidth="1"/>
    <col min="9" max="9" width="22" style="53" bestFit="1" customWidth="1"/>
    <col min="10" max="11" width="12.42578125" style="53" bestFit="1" customWidth="1"/>
    <col min="12" max="16384" width="9.140625" style="53"/>
  </cols>
  <sheetData>
    <row r="1" spans="2:11" ht="39" customHeight="1" x14ac:dyDescent="0.25"/>
    <row r="2" spans="2:11" ht="15" customHeight="1" x14ac:dyDescent="0.25">
      <c r="B2" s="593" t="s">
        <v>126</v>
      </c>
      <c r="C2" s="593"/>
      <c r="D2" s="593"/>
      <c r="E2" s="593"/>
      <c r="F2" s="593"/>
      <c r="H2" s="593" t="s">
        <v>127</v>
      </c>
      <c r="I2" s="593"/>
      <c r="J2" s="593"/>
      <c r="K2" s="593"/>
    </row>
    <row r="3" spans="2:11" ht="15" customHeight="1" x14ac:dyDescent="0.25">
      <c r="B3" s="49" t="s">
        <v>97</v>
      </c>
      <c r="C3" s="41" t="s">
        <v>120</v>
      </c>
      <c r="D3" s="63" t="s">
        <v>121</v>
      </c>
      <c r="E3" s="63" t="s">
        <v>122</v>
      </c>
      <c r="F3" s="63" t="s">
        <v>123</v>
      </c>
      <c r="G3" s="64"/>
      <c r="H3" s="47" t="s">
        <v>99</v>
      </c>
      <c r="I3" s="40" t="s">
        <v>100</v>
      </c>
      <c r="J3" s="40" t="s">
        <v>123</v>
      </c>
      <c r="K3" s="40" t="s">
        <v>124</v>
      </c>
    </row>
    <row r="4" spans="2:11" ht="15" customHeight="1" x14ac:dyDescent="0.25">
      <c r="B4" s="46" t="s">
        <v>108</v>
      </c>
      <c r="C4" s="297">
        <v>132</v>
      </c>
      <c r="D4" s="95"/>
      <c r="E4" s="95"/>
      <c r="F4" s="95"/>
      <c r="G4" s="98"/>
      <c r="H4" s="272" t="s">
        <v>71</v>
      </c>
      <c r="I4" s="276">
        <v>1</v>
      </c>
      <c r="J4" s="300">
        <f>$F$16</f>
        <v>66541800000</v>
      </c>
      <c r="K4" s="99">
        <f>$F$16*I4</f>
        <v>66541800000</v>
      </c>
    </row>
    <row r="5" spans="2:11" ht="15" customHeight="1" x14ac:dyDescent="0.25">
      <c r="B5" s="44" t="s">
        <v>109</v>
      </c>
      <c r="C5" s="298">
        <v>156</v>
      </c>
      <c r="D5" s="95"/>
      <c r="E5" s="95"/>
      <c r="F5" s="98"/>
      <c r="G5" s="98"/>
      <c r="H5" s="272" t="s">
        <v>70</v>
      </c>
      <c r="I5" s="273">
        <v>1.5</v>
      </c>
      <c r="J5" s="300">
        <f t="shared" ref="J5:J17" si="0">$F$16</f>
        <v>66541800000</v>
      </c>
      <c r="K5" s="92">
        <f t="shared" ref="K5:K17" si="1">$F$16*I5</f>
        <v>99812700000</v>
      </c>
    </row>
    <row r="6" spans="2:11" ht="15" customHeight="1" x14ac:dyDescent="0.25">
      <c r="B6" s="44" t="s">
        <v>110</v>
      </c>
      <c r="C6" s="298">
        <v>128</v>
      </c>
      <c r="D6" s="95"/>
      <c r="E6" s="95"/>
      <c r="F6" s="95"/>
      <c r="G6" s="98"/>
      <c r="H6" s="272" t="s">
        <v>73</v>
      </c>
      <c r="I6" s="273">
        <v>1</v>
      </c>
      <c r="J6" s="300">
        <f t="shared" si="0"/>
        <v>66541800000</v>
      </c>
      <c r="K6" s="92">
        <f t="shared" si="1"/>
        <v>66541800000</v>
      </c>
    </row>
    <row r="7" spans="2:11" ht="15" customHeight="1" x14ac:dyDescent="0.25">
      <c r="B7" s="44" t="s">
        <v>111</v>
      </c>
      <c r="C7" s="298">
        <v>85</v>
      </c>
      <c r="D7" s="95"/>
      <c r="E7" s="95"/>
      <c r="F7" s="95"/>
      <c r="G7" s="98"/>
      <c r="H7" s="272" t="s">
        <v>72</v>
      </c>
      <c r="I7" s="273">
        <v>5</v>
      </c>
      <c r="J7" s="300">
        <f t="shared" si="0"/>
        <v>66541800000</v>
      </c>
      <c r="K7" s="92">
        <f t="shared" si="1"/>
        <v>332709000000</v>
      </c>
    </row>
    <row r="8" spans="2:11" ht="15" customHeight="1" x14ac:dyDescent="0.25">
      <c r="B8" s="44" t="s">
        <v>112</v>
      </c>
      <c r="C8" s="298">
        <v>103</v>
      </c>
      <c r="D8" s="95"/>
      <c r="E8" s="95"/>
      <c r="F8" s="95"/>
      <c r="G8" s="98"/>
      <c r="H8" s="272" t="s">
        <v>75</v>
      </c>
      <c r="I8" s="273">
        <v>1</v>
      </c>
      <c r="J8" s="300">
        <f t="shared" si="0"/>
        <v>66541800000</v>
      </c>
      <c r="K8" s="92">
        <f t="shared" si="1"/>
        <v>66541800000</v>
      </c>
    </row>
    <row r="9" spans="2:11" ht="15" customHeight="1" x14ac:dyDescent="0.25">
      <c r="B9" s="44" t="s">
        <v>113</v>
      </c>
      <c r="C9" s="298">
        <v>72</v>
      </c>
      <c r="D9" s="95"/>
      <c r="E9" s="95"/>
      <c r="F9" s="95"/>
      <c r="G9" s="98"/>
      <c r="H9" s="272" t="s">
        <v>74</v>
      </c>
      <c r="I9" s="273">
        <v>8</v>
      </c>
      <c r="J9" s="300">
        <f t="shared" si="0"/>
        <v>66541800000</v>
      </c>
      <c r="K9" s="92">
        <f>$F$16*I9</f>
        <v>532334400000</v>
      </c>
    </row>
    <row r="10" spans="2:11" ht="15" customHeight="1" x14ac:dyDescent="0.25">
      <c r="B10" s="44" t="s">
        <v>114</v>
      </c>
      <c r="C10" s="298">
        <v>37</v>
      </c>
      <c r="D10" s="95"/>
      <c r="E10" s="95"/>
      <c r="F10" s="95"/>
      <c r="G10" s="98"/>
      <c r="H10" s="272" t="s">
        <v>77</v>
      </c>
      <c r="I10" s="273">
        <v>1</v>
      </c>
      <c r="J10" s="300">
        <f t="shared" si="0"/>
        <v>66541800000</v>
      </c>
      <c r="K10" s="92">
        <f t="shared" si="1"/>
        <v>66541800000</v>
      </c>
    </row>
    <row r="11" spans="2:11" ht="15" customHeight="1" x14ac:dyDescent="0.25">
      <c r="B11" s="44" t="s">
        <v>115</v>
      </c>
      <c r="C11" s="298">
        <v>50</v>
      </c>
      <c r="D11" s="95"/>
      <c r="E11" s="95"/>
      <c r="F11" s="95"/>
      <c r="G11" s="98"/>
      <c r="H11" s="272" t="s">
        <v>76</v>
      </c>
      <c r="I11" s="273">
        <v>14</v>
      </c>
      <c r="J11" s="300">
        <f t="shared" si="0"/>
        <v>66541800000</v>
      </c>
      <c r="K11" s="92">
        <f t="shared" si="1"/>
        <v>931585200000</v>
      </c>
    </row>
    <row r="12" spans="2:11" ht="15" customHeight="1" x14ac:dyDescent="0.25">
      <c r="B12" s="44" t="s">
        <v>116</v>
      </c>
      <c r="C12" s="298">
        <v>118</v>
      </c>
      <c r="D12" s="95"/>
      <c r="E12" s="95"/>
      <c r="F12" s="95"/>
      <c r="G12" s="98"/>
      <c r="H12" s="272" t="s">
        <v>79</v>
      </c>
      <c r="I12" s="273">
        <v>1</v>
      </c>
      <c r="J12" s="300">
        <f t="shared" si="0"/>
        <v>66541800000</v>
      </c>
      <c r="K12" s="92">
        <f t="shared" si="1"/>
        <v>66541800000</v>
      </c>
    </row>
    <row r="13" spans="2:11" ht="15" customHeight="1" x14ac:dyDescent="0.25">
      <c r="B13" s="44" t="s">
        <v>117</v>
      </c>
      <c r="C13" s="298">
        <v>129</v>
      </c>
      <c r="D13" s="95"/>
      <c r="E13" s="95"/>
      <c r="F13" s="95"/>
      <c r="G13" s="98"/>
      <c r="H13" s="272" t="s">
        <v>78</v>
      </c>
      <c r="I13" s="273">
        <v>20</v>
      </c>
      <c r="J13" s="300">
        <f t="shared" si="0"/>
        <v>66541800000</v>
      </c>
      <c r="K13" s="92">
        <f t="shared" si="1"/>
        <v>1330836000000</v>
      </c>
    </row>
    <row r="14" spans="2:11" ht="15" customHeight="1" x14ac:dyDescent="0.25">
      <c r="B14" s="44" t="s">
        <v>118</v>
      </c>
      <c r="C14" s="298">
        <v>125</v>
      </c>
      <c r="D14" s="95"/>
      <c r="E14" s="95"/>
      <c r="F14" s="95"/>
      <c r="G14" s="98"/>
      <c r="H14" s="272" t="s">
        <v>81</v>
      </c>
      <c r="I14" s="273">
        <v>1</v>
      </c>
      <c r="J14" s="300">
        <f t="shared" si="0"/>
        <v>66541800000</v>
      </c>
      <c r="K14" s="92">
        <f t="shared" si="1"/>
        <v>66541800000</v>
      </c>
    </row>
    <row r="15" spans="2:11" ht="15" customHeight="1" x14ac:dyDescent="0.25">
      <c r="B15" s="44" t="s">
        <v>119</v>
      </c>
      <c r="C15" s="298">
        <v>212</v>
      </c>
      <c r="D15" s="95"/>
      <c r="E15" s="95"/>
      <c r="F15" s="95"/>
      <c r="G15" s="98"/>
      <c r="H15" s="272" t="s">
        <v>80</v>
      </c>
      <c r="I15" s="273">
        <v>26</v>
      </c>
      <c r="J15" s="300">
        <f t="shared" si="0"/>
        <v>66541800000</v>
      </c>
      <c r="K15" s="92">
        <f t="shared" si="1"/>
        <v>1730086800000</v>
      </c>
    </row>
    <row r="16" spans="2:11" ht="15" customHeight="1" x14ac:dyDescent="0.25">
      <c r="B16" s="45" t="s">
        <v>129</v>
      </c>
      <c r="C16" s="100">
        <f>SUM(C4:C15)</f>
        <v>1347</v>
      </c>
      <c r="D16" s="97">
        <f>C16*10000/1000</f>
        <v>13470</v>
      </c>
      <c r="E16" s="97">
        <f>D16*1000</f>
        <v>13470000</v>
      </c>
      <c r="F16" s="232">
        <f>E16*4940</f>
        <v>66541800000</v>
      </c>
      <c r="G16" s="98"/>
      <c r="H16" s="272" t="s">
        <v>83</v>
      </c>
      <c r="I16" s="273">
        <v>1</v>
      </c>
      <c r="J16" s="300">
        <f t="shared" si="0"/>
        <v>66541800000</v>
      </c>
      <c r="K16" s="92">
        <f t="shared" si="1"/>
        <v>66541800000</v>
      </c>
    </row>
    <row r="17" spans="2:11" ht="15" customHeight="1" x14ac:dyDescent="0.25">
      <c r="B17" s="95" t="s">
        <v>128</v>
      </c>
      <c r="C17" s="95"/>
      <c r="D17" s="95"/>
      <c r="E17" s="95"/>
      <c r="F17" s="95"/>
      <c r="G17" s="98"/>
      <c r="H17" s="277" t="s">
        <v>82</v>
      </c>
      <c r="I17" s="278">
        <v>200</v>
      </c>
      <c r="J17" s="301">
        <f t="shared" si="0"/>
        <v>66541800000</v>
      </c>
      <c r="K17" s="93">
        <f t="shared" si="1"/>
        <v>13308360000000</v>
      </c>
    </row>
    <row r="18" spans="2:11" ht="15" customHeight="1" x14ac:dyDescent="0.2">
      <c r="H18" s="60" t="s">
        <v>125</v>
      </c>
    </row>
  </sheetData>
  <mergeCells count="2">
    <mergeCell ref="B2:F2"/>
    <mergeCell ref="H2:K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rgb="FFFFFF00"/>
  </sheetPr>
  <dimension ref="B2:AF43"/>
  <sheetViews>
    <sheetView showGridLines="0" zoomScaleNormal="100" workbookViewId="0">
      <selection activeCell="M8" sqref="M8"/>
    </sheetView>
  </sheetViews>
  <sheetFormatPr defaultRowHeight="15" customHeight="1" x14ac:dyDescent="0.25"/>
  <cols>
    <col min="1" max="1" width="9.140625" style="53"/>
    <col min="2" max="2" width="10" style="53" bestFit="1" customWidth="1"/>
    <col min="3" max="3" width="15.42578125" style="53" bestFit="1" customWidth="1"/>
    <col min="4" max="4" width="14.140625" style="53" bestFit="1" customWidth="1"/>
    <col min="5" max="6" width="9.140625" style="53"/>
    <col min="7" max="7" width="13.42578125" style="53" bestFit="1" customWidth="1"/>
    <col min="8" max="8" width="22" style="53" bestFit="1" customWidth="1"/>
    <col min="9" max="9" width="12.7109375" style="53" bestFit="1" customWidth="1"/>
    <col min="10" max="10" width="12.42578125" style="53" bestFit="1" customWidth="1"/>
    <col min="11" max="12" width="10.42578125" style="38" customWidth="1"/>
    <col min="13" max="13" width="9.140625" style="53"/>
    <col min="14" max="14" width="13.140625" style="53" customWidth="1"/>
    <col min="15" max="15" width="13.5703125" style="53" customWidth="1"/>
    <col min="16" max="17" width="12.140625" style="53" customWidth="1"/>
    <col min="18" max="19" width="11.42578125" style="53" customWidth="1"/>
    <col min="20" max="20" width="12.42578125" style="53" customWidth="1"/>
    <col min="21" max="21" width="13.5703125" style="53" customWidth="1"/>
    <col min="22" max="23" width="12.85546875" style="53" customWidth="1"/>
    <col min="24" max="24" width="12.5703125" style="53" customWidth="1"/>
    <col min="25" max="27" width="12.7109375" style="53" customWidth="1"/>
    <col min="28" max="28" width="10.7109375" style="53" bestFit="1" customWidth="1"/>
    <col min="29" max="29" width="10.28515625" style="53" bestFit="1" customWidth="1"/>
    <col min="30" max="30" width="11.140625" style="53" bestFit="1" customWidth="1"/>
    <col min="31" max="31" width="10.42578125" style="53" customWidth="1"/>
    <col min="32" max="32" width="9.140625" style="53" bestFit="1" customWidth="1"/>
    <col min="33" max="33" width="8.42578125" style="53" bestFit="1" customWidth="1"/>
    <col min="34" max="16384" width="9.140625" style="53"/>
  </cols>
  <sheetData>
    <row r="2" spans="2:32" ht="15" customHeight="1" x14ac:dyDescent="0.25">
      <c r="M2" s="52"/>
      <c r="N2" s="52"/>
      <c r="O2" s="52"/>
      <c r="P2" s="52"/>
      <c r="Q2" s="38"/>
    </row>
    <row r="3" spans="2:32" ht="15" customHeight="1" x14ac:dyDescent="0.25">
      <c r="M3" s="596"/>
      <c r="N3" s="595"/>
      <c r="O3" s="595"/>
      <c r="P3" s="596"/>
      <c r="Q3" s="535"/>
    </row>
    <row r="4" spans="2:32" ht="15" customHeight="1" x14ac:dyDescent="0.25">
      <c r="B4" s="62" t="s">
        <v>130</v>
      </c>
      <c r="C4" s="62"/>
      <c r="D4" s="62"/>
      <c r="G4" s="599" t="s">
        <v>459</v>
      </c>
      <c r="H4" s="599"/>
      <c r="I4" s="599"/>
      <c r="J4" s="599"/>
      <c r="K4" s="65"/>
      <c r="L4" s="542"/>
      <c r="M4" s="596"/>
      <c r="N4" s="595"/>
      <c r="O4" s="595"/>
      <c r="P4" s="596"/>
      <c r="Q4" s="535"/>
    </row>
    <row r="5" spans="2:32" ht="15" customHeight="1" x14ac:dyDescent="0.25">
      <c r="B5" s="57" t="s">
        <v>97</v>
      </c>
      <c r="C5" s="57" t="s">
        <v>131</v>
      </c>
      <c r="D5" s="57" t="s">
        <v>132</v>
      </c>
      <c r="E5" s="95"/>
      <c r="F5" s="95"/>
      <c r="G5" s="57" t="s">
        <v>99</v>
      </c>
      <c r="H5" s="57" t="s">
        <v>100</v>
      </c>
      <c r="I5" s="57" t="s">
        <v>132</v>
      </c>
      <c r="J5" s="57" t="s">
        <v>133</v>
      </c>
      <c r="K5" s="66"/>
      <c r="L5" s="569"/>
      <c r="M5" s="38"/>
      <c r="N5" s="574"/>
      <c r="O5" s="38"/>
      <c r="P5" s="38"/>
      <c r="Q5" s="38"/>
    </row>
    <row r="6" spans="2:32" ht="15" customHeight="1" x14ac:dyDescent="0.25">
      <c r="B6" s="56" t="s">
        <v>108</v>
      </c>
      <c r="C6" s="297">
        <v>1.24</v>
      </c>
      <c r="D6" s="95"/>
      <c r="E6" s="95"/>
      <c r="F6" s="95"/>
      <c r="G6" s="272" t="s">
        <v>71</v>
      </c>
      <c r="H6" s="276">
        <v>1</v>
      </c>
      <c r="I6" s="299">
        <f>$D$18</f>
        <v>615881000.86500013</v>
      </c>
      <c r="J6" s="92">
        <f>I6*H6</f>
        <v>615881000.86500013</v>
      </c>
      <c r="K6" s="67"/>
      <c r="L6" s="67"/>
      <c r="M6" s="38"/>
      <c r="N6" s="574"/>
      <c r="O6" s="38"/>
      <c r="P6" s="38"/>
      <c r="Q6" s="38"/>
    </row>
    <row r="7" spans="2:32" ht="15" customHeight="1" x14ac:dyDescent="0.25">
      <c r="B7" s="58" t="s">
        <v>109</v>
      </c>
      <c r="C7" s="298">
        <v>1.18</v>
      </c>
      <c r="D7" s="95"/>
      <c r="E7" s="95"/>
      <c r="F7" s="95"/>
      <c r="G7" s="272" t="s">
        <v>70</v>
      </c>
      <c r="H7" s="273">
        <v>1.5</v>
      </c>
      <c r="I7" s="300">
        <f t="shared" ref="I7:I19" si="0">$D$18</f>
        <v>615881000.86500013</v>
      </c>
      <c r="J7" s="92">
        <f t="shared" ref="J7:J19" si="1">I7*H7</f>
        <v>923821501.29750013</v>
      </c>
      <c r="K7" s="67"/>
      <c r="L7" s="67"/>
      <c r="M7" s="38"/>
      <c r="N7" s="574"/>
      <c r="O7" s="71"/>
      <c r="P7" s="72"/>
      <c r="Q7" s="72"/>
    </row>
    <row r="8" spans="2:32" ht="15" customHeight="1" x14ac:dyDescent="0.25">
      <c r="B8" s="58" t="s">
        <v>110</v>
      </c>
      <c r="C8" s="298">
        <v>1.07</v>
      </c>
      <c r="D8" s="95"/>
      <c r="E8" s="95"/>
      <c r="F8" s="95"/>
      <c r="G8" s="272" t="s">
        <v>73</v>
      </c>
      <c r="H8" s="273">
        <v>1</v>
      </c>
      <c r="I8" s="300">
        <f t="shared" si="0"/>
        <v>615881000.86500013</v>
      </c>
      <c r="J8" s="92">
        <f t="shared" si="1"/>
        <v>615881000.86500013</v>
      </c>
      <c r="K8" s="67"/>
      <c r="L8" s="67"/>
      <c r="M8" s="38"/>
      <c r="N8" s="574"/>
      <c r="O8" s="575"/>
      <c r="P8" s="74"/>
      <c r="Q8" s="74"/>
    </row>
    <row r="9" spans="2:32" ht="15" customHeight="1" x14ac:dyDescent="0.25">
      <c r="B9" s="58" t="s">
        <v>111</v>
      </c>
      <c r="C9" s="298">
        <v>1.17</v>
      </c>
      <c r="D9" s="95"/>
      <c r="E9" s="95"/>
      <c r="F9" s="95"/>
      <c r="G9" s="272" t="s">
        <v>72</v>
      </c>
      <c r="H9" s="273">
        <v>5</v>
      </c>
      <c r="I9" s="300">
        <f t="shared" si="0"/>
        <v>615881000.86500013</v>
      </c>
      <c r="J9" s="92">
        <f t="shared" si="1"/>
        <v>3079405004.3250008</v>
      </c>
      <c r="K9" s="67"/>
      <c r="L9" s="67"/>
      <c r="M9" s="38"/>
      <c r="N9" s="38"/>
      <c r="O9" s="38"/>
      <c r="P9" s="38"/>
      <c r="Q9" s="38"/>
    </row>
    <row r="10" spans="2:32" ht="15" customHeight="1" x14ac:dyDescent="0.25">
      <c r="B10" s="58" t="s">
        <v>112</v>
      </c>
      <c r="C10" s="298">
        <v>0.9</v>
      </c>
      <c r="D10" s="95"/>
      <c r="E10" s="95"/>
      <c r="F10" s="95"/>
      <c r="G10" s="272" t="s">
        <v>75</v>
      </c>
      <c r="H10" s="273">
        <v>1</v>
      </c>
      <c r="I10" s="300">
        <f t="shared" si="0"/>
        <v>615881000.86500013</v>
      </c>
      <c r="J10" s="92">
        <f t="shared" si="1"/>
        <v>615881000.86500013</v>
      </c>
      <c r="K10" s="67"/>
      <c r="L10" s="67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2:32" ht="15" customHeight="1" x14ac:dyDescent="0.2">
      <c r="B11" s="58" t="s">
        <v>113</v>
      </c>
      <c r="C11" s="298">
        <v>0.87</v>
      </c>
      <c r="D11" s="95"/>
      <c r="E11" s="95"/>
      <c r="F11" s="95"/>
      <c r="G11" s="272" t="s">
        <v>74</v>
      </c>
      <c r="H11" s="273">
        <v>8</v>
      </c>
      <c r="I11" s="300">
        <f t="shared" si="0"/>
        <v>615881000.86500013</v>
      </c>
      <c r="J11" s="92">
        <f t="shared" si="1"/>
        <v>4927048006.920001</v>
      </c>
      <c r="K11" s="67"/>
      <c r="L11" s="67"/>
      <c r="M11" s="566"/>
      <c r="N11" s="567"/>
      <c r="O11" s="567"/>
      <c r="P11" s="567"/>
      <c r="Q11" s="567"/>
      <c r="R11" s="567"/>
      <c r="S11" s="567"/>
      <c r="T11" s="567"/>
      <c r="U11" s="567"/>
      <c r="V11" s="567"/>
      <c r="W11" s="567"/>
      <c r="X11" s="567"/>
      <c r="Y11" s="567"/>
      <c r="Z11" s="567"/>
      <c r="AA11" s="567"/>
      <c r="AB11" s="568"/>
      <c r="AC11" s="567"/>
      <c r="AD11" s="38"/>
      <c r="AE11" s="38"/>
      <c r="AF11" s="38"/>
    </row>
    <row r="12" spans="2:32" ht="15" customHeight="1" x14ac:dyDescent="0.25">
      <c r="B12" s="58" t="s">
        <v>114</v>
      </c>
      <c r="C12" s="298">
        <v>0.98</v>
      </c>
      <c r="D12" s="95"/>
      <c r="E12" s="95"/>
      <c r="F12" s="95"/>
      <c r="G12" s="272" t="s">
        <v>77</v>
      </c>
      <c r="H12" s="273">
        <v>1</v>
      </c>
      <c r="I12" s="300">
        <f t="shared" si="0"/>
        <v>615881000.86500013</v>
      </c>
      <c r="J12" s="92">
        <f t="shared" si="1"/>
        <v>615881000.86500013</v>
      </c>
      <c r="K12" s="67"/>
      <c r="L12" s="67"/>
      <c r="M12" s="595"/>
      <c r="N12" s="596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66"/>
      <c r="AA12" s="534"/>
      <c r="AB12" s="534"/>
      <c r="AC12" s="534"/>
      <c r="AD12" s="595"/>
      <c r="AE12" s="595"/>
      <c r="AF12" s="38"/>
    </row>
    <row r="13" spans="2:32" ht="15" customHeight="1" x14ac:dyDescent="0.25">
      <c r="B13" s="58" t="s">
        <v>115</v>
      </c>
      <c r="C13" s="298">
        <v>1.03</v>
      </c>
      <c r="D13" s="95"/>
      <c r="E13" s="95"/>
      <c r="F13" s="95"/>
      <c r="G13" s="272" t="s">
        <v>76</v>
      </c>
      <c r="H13" s="273">
        <v>14</v>
      </c>
      <c r="I13" s="300">
        <f t="shared" si="0"/>
        <v>615881000.86500013</v>
      </c>
      <c r="J13" s="92">
        <f t="shared" si="1"/>
        <v>8622334012.1100025</v>
      </c>
      <c r="K13" s="67"/>
      <c r="L13" s="67"/>
      <c r="M13" s="595"/>
      <c r="N13" s="596"/>
      <c r="O13" s="595"/>
      <c r="P13" s="595"/>
      <c r="Q13" s="595"/>
      <c r="R13" s="595"/>
      <c r="S13" s="595"/>
      <c r="T13" s="596"/>
      <c r="U13" s="601"/>
      <c r="V13" s="595"/>
      <c r="W13" s="595"/>
      <c r="X13" s="595"/>
      <c r="Y13" s="595"/>
      <c r="Z13" s="595"/>
      <c r="AA13" s="596"/>
      <c r="AB13" s="600"/>
      <c r="AC13" s="596"/>
      <c r="AD13" s="595"/>
      <c r="AE13" s="595"/>
      <c r="AF13" s="38"/>
    </row>
    <row r="14" spans="2:32" ht="15" customHeight="1" x14ac:dyDescent="0.25">
      <c r="B14" s="58" t="s">
        <v>116</v>
      </c>
      <c r="C14" s="298">
        <v>1.1200000000000001</v>
      </c>
      <c r="D14" s="95"/>
      <c r="E14" s="95"/>
      <c r="F14" s="95"/>
      <c r="G14" s="272" t="s">
        <v>79</v>
      </c>
      <c r="H14" s="273">
        <v>1</v>
      </c>
      <c r="I14" s="300">
        <f t="shared" si="0"/>
        <v>615881000.86500013</v>
      </c>
      <c r="J14" s="92">
        <f t="shared" si="1"/>
        <v>615881000.86500013</v>
      </c>
      <c r="K14" s="67"/>
      <c r="L14" s="67"/>
      <c r="M14" s="595"/>
      <c r="N14" s="596"/>
      <c r="O14" s="595"/>
      <c r="P14" s="595"/>
      <c r="Q14" s="595"/>
      <c r="R14" s="595"/>
      <c r="S14" s="595"/>
      <c r="T14" s="596"/>
      <c r="U14" s="601"/>
      <c r="V14" s="595"/>
      <c r="W14" s="595"/>
      <c r="X14" s="595"/>
      <c r="Y14" s="595"/>
      <c r="Z14" s="595"/>
      <c r="AA14" s="596"/>
      <c r="AB14" s="600"/>
      <c r="AC14" s="596"/>
      <c r="AD14" s="595"/>
      <c r="AE14" s="595"/>
      <c r="AF14" s="38"/>
    </row>
    <row r="15" spans="2:32" s="75" customFormat="1" ht="15" customHeight="1" x14ac:dyDescent="0.25">
      <c r="B15" s="58" t="s">
        <v>117</v>
      </c>
      <c r="C15" s="298">
        <v>1.2</v>
      </c>
      <c r="D15" s="95"/>
      <c r="E15" s="96"/>
      <c r="F15" s="96"/>
      <c r="G15" s="272" t="s">
        <v>78</v>
      </c>
      <c r="H15" s="273">
        <v>20</v>
      </c>
      <c r="I15" s="300">
        <f t="shared" si="0"/>
        <v>615881000.86500013</v>
      </c>
      <c r="J15" s="92">
        <f t="shared" si="1"/>
        <v>12317620017.300003</v>
      </c>
      <c r="K15" s="67"/>
      <c r="L15" s="67"/>
      <c r="M15" s="597"/>
      <c r="N15" s="533"/>
      <c r="O15" s="77"/>
      <c r="P15" s="77"/>
      <c r="Q15" s="77"/>
      <c r="R15" s="77"/>
      <c r="S15" s="77"/>
      <c r="T15" s="533"/>
      <c r="U15" s="77"/>
      <c r="V15" s="77"/>
      <c r="W15" s="77"/>
      <c r="X15" s="77"/>
      <c r="Y15" s="77"/>
      <c r="Z15" s="77"/>
      <c r="AA15" s="533"/>
      <c r="AB15" s="570"/>
      <c r="AC15" s="226"/>
      <c r="AD15" s="68"/>
      <c r="AE15" s="68"/>
      <c r="AF15" s="68"/>
    </row>
    <row r="16" spans="2:32" s="75" customFormat="1" ht="15" customHeight="1" x14ac:dyDescent="0.25">
      <c r="B16" s="58" t="s">
        <v>118</v>
      </c>
      <c r="C16" s="298">
        <v>1.2</v>
      </c>
      <c r="D16" s="95"/>
      <c r="E16" s="96"/>
      <c r="F16" s="96"/>
      <c r="G16" s="272" t="s">
        <v>81</v>
      </c>
      <c r="H16" s="273">
        <v>1</v>
      </c>
      <c r="I16" s="300">
        <f t="shared" si="0"/>
        <v>615881000.86500013</v>
      </c>
      <c r="J16" s="92">
        <f t="shared" si="1"/>
        <v>615881000.86500013</v>
      </c>
      <c r="K16" s="67"/>
      <c r="L16" s="67"/>
      <c r="M16" s="597"/>
      <c r="N16" s="533"/>
      <c r="O16" s="77"/>
      <c r="P16" s="77"/>
      <c r="Q16" s="78"/>
      <c r="R16" s="78"/>
      <c r="S16" s="78"/>
      <c r="T16" s="533"/>
      <c r="U16" s="77"/>
      <c r="V16" s="77"/>
      <c r="W16" s="77"/>
      <c r="X16" s="78"/>
      <c r="Y16" s="78"/>
      <c r="Z16" s="78"/>
      <c r="AA16" s="533"/>
      <c r="AB16" s="570"/>
      <c r="AC16" s="79"/>
      <c r="AD16" s="79"/>
      <c r="AE16" s="79"/>
      <c r="AF16" s="68"/>
    </row>
    <row r="17" spans="2:32" s="75" customFormat="1" ht="15" customHeight="1" x14ac:dyDescent="0.25">
      <c r="B17" s="58" t="s">
        <v>119</v>
      </c>
      <c r="C17" s="298">
        <v>1.17</v>
      </c>
      <c r="D17" s="95"/>
      <c r="E17" s="96"/>
      <c r="F17" s="96"/>
      <c r="G17" s="272" t="s">
        <v>80</v>
      </c>
      <c r="H17" s="273">
        <v>26</v>
      </c>
      <c r="I17" s="300">
        <f t="shared" si="0"/>
        <v>615881000.86500013</v>
      </c>
      <c r="J17" s="92">
        <f t="shared" si="1"/>
        <v>16012906022.490004</v>
      </c>
      <c r="K17" s="67"/>
      <c r="L17" s="67"/>
      <c r="M17" s="597"/>
      <c r="N17" s="533"/>
      <c r="O17" s="77"/>
      <c r="P17" s="77"/>
      <c r="Q17" s="78"/>
      <c r="R17" s="78"/>
      <c r="S17" s="78"/>
      <c r="T17" s="79"/>
      <c r="U17" s="78"/>
      <c r="V17" s="77"/>
      <c r="W17" s="78"/>
      <c r="X17" s="78"/>
      <c r="Y17" s="78"/>
      <c r="Z17" s="78"/>
      <c r="AA17" s="79"/>
      <c r="AB17" s="570"/>
      <c r="AC17" s="79"/>
      <c r="AD17" s="79"/>
      <c r="AE17" s="79"/>
      <c r="AF17" s="68"/>
    </row>
    <row r="18" spans="2:32" s="75" customFormat="1" ht="15" customHeight="1" x14ac:dyDescent="0.25">
      <c r="B18" s="61" t="s">
        <v>26</v>
      </c>
      <c r="C18" s="97">
        <f>MEDIAN(C6:C17)</f>
        <v>1.145</v>
      </c>
      <c r="D18" s="573">
        <f>1.3*(C18^3)*0.001*10000*31560000</f>
        <v>615881000.86500013</v>
      </c>
      <c r="E18" s="96"/>
      <c r="F18" s="96"/>
      <c r="G18" s="272" t="s">
        <v>83</v>
      </c>
      <c r="H18" s="273">
        <v>1</v>
      </c>
      <c r="I18" s="300">
        <f t="shared" si="0"/>
        <v>615881000.86500013</v>
      </c>
      <c r="J18" s="92">
        <f t="shared" si="1"/>
        <v>615881000.86500013</v>
      </c>
      <c r="K18" s="67"/>
      <c r="L18" s="67"/>
      <c r="M18" s="597"/>
      <c r="N18" s="533"/>
      <c r="O18" s="80"/>
      <c r="P18" s="80"/>
      <c r="Q18" s="80"/>
      <c r="R18" s="80"/>
      <c r="S18" s="80"/>
      <c r="T18" s="226"/>
      <c r="U18" s="80"/>
      <c r="V18" s="80"/>
      <c r="W18" s="80"/>
      <c r="X18" s="80"/>
      <c r="Y18" s="80"/>
      <c r="Z18" s="80"/>
      <c r="AA18" s="226"/>
      <c r="AB18" s="80"/>
      <c r="AC18" s="79"/>
      <c r="AD18" s="79"/>
      <c r="AE18" s="79"/>
      <c r="AF18" s="68"/>
    </row>
    <row r="19" spans="2:32" s="75" customFormat="1" ht="15" customHeight="1" x14ac:dyDescent="0.25">
      <c r="B19" s="96"/>
      <c r="C19" s="96"/>
      <c r="D19" s="96"/>
      <c r="E19" s="96"/>
      <c r="F19" s="96"/>
      <c r="G19" s="277" t="s">
        <v>82</v>
      </c>
      <c r="H19" s="278">
        <v>200</v>
      </c>
      <c r="I19" s="301">
        <f t="shared" si="0"/>
        <v>615881000.86500013</v>
      </c>
      <c r="J19" s="93">
        <f t="shared" si="1"/>
        <v>123176200173.00003</v>
      </c>
      <c r="K19" s="67"/>
      <c r="L19" s="67"/>
      <c r="M19" s="597"/>
      <c r="N19" s="533"/>
      <c r="O19" s="77"/>
      <c r="P19" s="77"/>
      <c r="Q19" s="77"/>
      <c r="R19" s="77"/>
      <c r="S19" s="77"/>
      <c r="T19" s="226"/>
      <c r="U19" s="77"/>
      <c r="V19" s="77"/>
      <c r="W19" s="77"/>
      <c r="X19" s="77"/>
      <c r="Y19" s="77"/>
      <c r="Z19" s="77"/>
      <c r="AA19" s="226"/>
      <c r="AB19" s="570"/>
      <c r="AC19" s="226"/>
      <c r="AD19" s="79"/>
      <c r="AE19" s="79"/>
      <c r="AF19" s="68"/>
    </row>
    <row r="20" spans="2:32" s="75" customFormat="1" ht="15" customHeight="1" x14ac:dyDescent="0.25">
      <c r="K20" s="68"/>
      <c r="L20" s="68"/>
      <c r="M20" s="597"/>
      <c r="N20" s="533"/>
      <c r="O20" s="77"/>
      <c r="P20" s="77"/>
      <c r="Q20" s="78"/>
      <c r="R20" s="78"/>
      <c r="S20" s="78"/>
      <c r="T20" s="226"/>
      <c r="U20" s="77"/>
      <c r="V20" s="77"/>
      <c r="W20" s="77"/>
      <c r="X20" s="78"/>
      <c r="Y20" s="78"/>
      <c r="Z20" s="78"/>
      <c r="AA20" s="226"/>
      <c r="AB20" s="570"/>
      <c r="AC20" s="79"/>
      <c r="AD20" s="79"/>
      <c r="AE20" s="79"/>
      <c r="AF20" s="68"/>
    </row>
    <row r="21" spans="2:32" s="75" customFormat="1" ht="15" customHeight="1" x14ac:dyDescent="0.25">
      <c r="K21" s="68"/>
      <c r="L21" s="68"/>
      <c r="M21" s="597"/>
      <c r="N21" s="533"/>
      <c r="O21" s="77"/>
      <c r="P21" s="77"/>
      <c r="Q21" s="78"/>
      <c r="R21" s="78"/>
      <c r="S21" s="78"/>
      <c r="T21" s="79"/>
      <c r="U21" s="78"/>
      <c r="V21" s="77"/>
      <c r="W21" s="78"/>
      <c r="X21" s="78"/>
      <c r="Y21" s="78"/>
      <c r="Z21" s="78"/>
      <c r="AA21" s="79"/>
      <c r="AB21" s="570"/>
      <c r="AC21" s="79"/>
      <c r="AD21" s="79"/>
      <c r="AE21" s="79"/>
      <c r="AF21" s="68"/>
    </row>
    <row r="22" spans="2:32" s="75" customFormat="1" ht="15" customHeight="1" x14ac:dyDescent="0.25">
      <c r="K22" s="68"/>
      <c r="L22" s="68"/>
      <c r="M22" s="597"/>
      <c r="N22" s="533"/>
      <c r="O22" s="80"/>
      <c r="P22" s="80"/>
      <c r="Q22" s="80"/>
      <c r="R22" s="80"/>
      <c r="S22" s="80"/>
      <c r="T22" s="226"/>
      <c r="U22" s="80"/>
      <c r="V22" s="80"/>
      <c r="W22" s="80"/>
      <c r="X22" s="80"/>
      <c r="Y22" s="80"/>
      <c r="Z22" s="80"/>
      <c r="AA22" s="226"/>
      <c r="AB22" s="80"/>
      <c r="AC22" s="79"/>
      <c r="AD22" s="79"/>
      <c r="AE22" s="79"/>
      <c r="AF22" s="68"/>
    </row>
    <row r="23" spans="2:32" s="75" customFormat="1" ht="15" customHeight="1" x14ac:dyDescent="0.25">
      <c r="K23" s="68"/>
      <c r="L23" s="68"/>
      <c r="M23" s="597"/>
      <c r="N23" s="533"/>
      <c r="O23" s="77"/>
      <c r="P23" s="77"/>
      <c r="Q23" s="77"/>
      <c r="R23" s="77"/>
      <c r="S23" s="77"/>
      <c r="T23" s="226"/>
      <c r="U23" s="77"/>
      <c r="V23" s="77"/>
      <c r="W23" s="77"/>
      <c r="X23" s="77"/>
      <c r="Y23" s="77"/>
      <c r="Z23" s="77"/>
      <c r="AA23" s="226"/>
      <c r="AB23" s="570"/>
      <c r="AC23" s="226"/>
      <c r="AD23" s="79"/>
      <c r="AE23" s="79"/>
      <c r="AF23" s="68"/>
    </row>
    <row r="24" spans="2:32" s="75" customFormat="1" ht="15" customHeight="1" x14ac:dyDescent="0.25">
      <c r="K24" s="68"/>
      <c r="L24" s="68"/>
      <c r="M24" s="597"/>
      <c r="N24" s="533"/>
      <c r="O24" s="77"/>
      <c r="P24" s="77"/>
      <c r="Q24" s="78"/>
      <c r="R24" s="78"/>
      <c r="S24" s="78"/>
      <c r="T24" s="226"/>
      <c r="U24" s="77"/>
      <c r="V24" s="77"/>
      <c r="W24" s="77"/>
      <c r="X24" s="78"/>
      <c r="Y24" s="78"/>
      <c r="Z24" s="78"/>
      <c r="AA24" s="226"/>
      <c r="AB24" s="570"/>
      <c r="AC24" s="79"/>
      <c r="AD24" s="79"/>
      <c r="AE24" s="79"/>
      <c r="AF24" s="68"/>
    </row>
    <row r="25" spans="2:32" s="75" customFormat="1" ht="15" customHeight="1" x14ac:dyDescent="0.25">
      <c r="K25" s="68"/>
      <c r="L25" s="68"/>
      <c r="M25" s="597"/>
      <c r="N25" s="533"/>
      <c r="O25" s="77"/>
      <c r="P25" s="77"/>
      <c r="Q25" s="78"/>
      <c r="R25" s="78"/>
      <c r="S25" s="78"/>
      <c r="T25" s="79"/>
      <c r="U25" s="78"/>
      <c r="V25" s="77"/>
      <c r="W25" s="78"/>
      <c r="X25" s="78"/>
      <c r="Y25" s="78"/>
      <c r="Z25" s="78"/>
      <c r="AA25" s="79"/>
      <c r="AB25" s="570"/>
      <c r="AC25" s="79"/>
      <c r="AD25" s="79"/>
      <c r="AE25" s="79"/>
      <c r="AF25" s="68"/>
    </row>
    <row r="26" spans="2:32" s="75" customFormat="1" ht="15" customHeight="1" x14ac:dyDescent="0.25">
      <c r="K26" s="68"/>
      <c r="L26" s="68"/>
      <c r="M26" s="597"/>
      <c r="N26" s="533"/>
      <c r="O26" s="80"/>
      <c r="P26" s="80"/>
      <c r="Q26" s="80"/>
      <c r="R26" s="80"/>
      <c r="S26" s="80"/>
      <c r="T26" s="226"/>
      <c r="U26" s="80"/>
      <c r="V26" s="80"/>
      <c r="W26" s="80"/>
      <c r="X26" s="80"/>
      <c r="Y26" s="80"/>
      <c r="Z26" s="80"/>
      <c r="AA26" s="226"/>
      <c r="AB26" s="80"/>
      <c r="AC26" s="79"/>
      <c r="AD26" s="79"/>
      <c r="AE26" s="79"/>
      <c r="AF26" s="68"/>
    </row>
    <row r="27" spans="2:32" s="75" customFormat="1" ht="15" customHeight="1" x14ac:dyDescent="0.25">
      <c r="K27" s="68"/>
      <c r="L27" s="68"/>
      <c r="M27" s="597"/>
      <c r="N27" s="533"/>
      <c r="O27" s="77"/>
      <c r="P27" s="77"/>
      <c r="Q27" s="77"/>
      <c r="R27" s="77"/>
      <c r="S27" s="77"/>
      <c r="T27" s="226"/>
      <c r="U27" s="77"/>
      <c r="V27" s="77"/>
      <c r="W27" s="77"/>
      <c r="X27" s="77"/>
      <c r="Y27" s="77"/>
      <c r="Z27" s="77"/>
      <c r="AA27" s="226"/>
      <c r="AB27" s="570"/>
      <c r="AC27" s="226"/>
      <c r="AD27" s="79"/>
      <c r="AE27" s="79"/>
      <c r="AF27" s="68"/>
    </row>
    <row r="28" spans="2:32" s="75" customFormat="1" ht="15" customHeight="1" x14ac:dyDescent="0.25">
      <c r="K28" s="68"/>
      <c r="L28" s="68"/>
      <c r="M28" s="597"/>
      <c r="N28" s="533"/>
      <c r="O28" s="77"/>
      <c r="P28" s="77"/>
      <c r="Q28" s="77"/>
      <c r="R28" s="78"/>
      <c r="S28" s="78"/>
      <c r="T28" s="226"/>
      <c r="U28" s="77"/>
      <c r="V28" s="77"/>
      <c r="W28" s="77"/>
      <c r="X28" s="78"/>
      <c r="Y28" s="78"/>
      <c r="Z28" s="78"/>
      <c r="AA28" s="226"/>
      <c r="AB28" s="570"/>
      <c r="AC28" s="79"/>
      <c r="AD28" s="79"/>
      <c r="AE28" s="79"/>
      <c r="AF28" s="68"/>
    </row>
    <row r="29" spans="2:32" s="75" customFormat="1" ht="15" customHeight="1" x14ac:dyDescent="0.25">
      <c r="K29" s="68"/>
      <c r="L29" s="68"/>
      <c r="M29" s="597"/>
      <c r="N29" s="533"/>
      <c r="O29" s="77"/>
      <c r="P29" s="77"/>
      <c r="Q29" s="77"/>
      <c r="R29" s="78"/>
      <c r="S29" s="78"/>
      <c r="T29" s="79"/>
      <c r="U29" s="78"/>
      <c r="V29" s="77"/>
      <c r="W29" s="78"/>
      <c r="X29" s="78"/>
      <c r="Y29" s="78"/>
      <c r="Z29" s="78"/>
      <c r="AA29" s="79"/>
      <c r="AB29" s="570"/>
      <c r="AC29" s="79"/>
      <c r="AD29" s="79"/>
      <c r="AE29" s="79"/>
      <c r="AF29" s="68"/>
    </row>
    <row r="30" spans="2:32" s="75" customFormat="1" ht="15" customHeight="1" x14ac:dyDescent="0.25">
      <c r="K30" s="68"/>
      <c r="L30" s="68"/>
      <c r="M30" s="597"/>
      <c r="N30" s="533"/>
      <c r="O30" s="80"/>
      <c r="P30" s="80"/>
      <c r="Q30" s="80"/>
      <c r="R30" s="80"/>
      <c r="S30" s="80"/>
      <c r="T30" s="226"/>
      <c r="U30" s="80"/>
      <c r="V30" s="80"/>
      <c r="W30" s="80"/>
      <c r="X30" s="80"/>
      <c r="Y30" s="80"/>
      <c r="Z30" s="80"/>
      <c r="AA30" s="226"/>
      <c r="AB30" s="80"/>
      <c r="AC30" s="79"/>
      <c r="AD30" s="79"/>
      <c r="AE30" s="79"/>
      <c r="AF30" s="68"/>
    </row>
    <row r="31" spans="2:32" s="75" customFormat="1" ht="15" customHeight="1" x14ac:dyDescent="0.25">
      <c r="K31" s="68"/>
      <c r="L31" s="68"/>
      <c r="M31" s="596"/>
      <c r="N31" s="533"/>
      <c r="O31" s="77"/>
      <c r="P31" s="77"/>
      <c r="Q31" s="77"/>
      <c r="R31" s="77"/>
      <c r="S31" s="77"/>
      <c r="T31" s="226"/>
      <c r="U31" s="77"/>
      <c r="V31" s="77"/>
      <c r="W31" s="77"/>
      <c r="X31" s="77"/>
      <c r="Y31" s="77"/>
      <c r="Z31" s="77"/>
      <c r="AA31" s="226"/>
      <c r="AB31" s="571"/>
      <c r="AC31" s="226"/>
      <c r="AD31" s="79"/>
      <c r="AE31" s="79"/>
      <c r="AF31" s="68"/>
    </row>
    <row r="32" spans="2:32" ht="15" customHeight="1" x14ac:dyDescent="0.25">
      <c r="M32" s="596"/>
      <c r="N32" s="533"/>
      <c r="O32" s="77"/>
      <c r="P32" s="77"/>
      <c r="Q32" s="77"/>
      <c r="R32" s="77"/>
      <c r="S32" s="77"/>
      <c r="T32" s="66"/>
      <c r="U32" s="77"/>
      <c r="V32" s="77"/>
      <c r="W32" s="77"/>
      <c r="X32" s="77"/>
      <c r="Y32" s="77"/>
      <c r="Z32" s="77"/>
      <c r="AA32" s="66"/>
      <c r="AB32" s="571"/>
      <c r="AC32" s="572"/>
      <c r="AD32" s="79"/>
      <c r="AE32" s="79"/>
      <c r="AF32" s="38"/>
    </row>
    <row r="33" spans="13:32" ht="15" customHeight="1" x14ac:dyDescent="0.25">
      <c r="M33" s="596"/>
      <c r="N33" s="533"/>
      <c r="O33" s="77"/>
      <c r="P33" s="77"/>
      <c r="Q33" s="77"/>
      <c r="R33" s="77"/>
      <c r="S33" s="77"/>
      <c r="T33" s="572"/>
      <c r="U33" s="77"/>
      <c r="V33" s="77"/>
      <c r="W33" s="77"/>
      <c r="X33" s="77"/>
      <c r="Y33" s="77"/>
      <c r="Z33" s="77"/>
      <c r="AA33" s="572"/>
      <c r="AB33" s="571"/>
      <c r="AC33" s="572"/>
      <c r="AD33" s="79"/>
      <c r="AE33" s="79"/>
      <c r="AF33" s="38"/>
    </row>
    <row r="34" spans="13:32" ht="15" customHeight="1" x14ac:dyDescent="0.25">
      <c r="M34" s="596"/>
      <c r="N34" s="533"/>
      <c r="O34" s="81"/>
      <c r="P34" s="81"/>
      <c r="Q34" s="81"/>
      <c r="R34" s="81"/>
      <c r="S34" s="81"/>
      <c r="T34" s="534"/>
      <c r="U34" s="77"/>
      <c r="V34" s="81"/>
      <c r="W34" s="81"/>
      <c r="X34" s="81"/>
      <c r="Y34" s="81"/>
      <c r="Z34" s="81"/>
      <c r="AA34" s="534"/>
      <c r="AB34" s="81"/>
      <c r="AC34" s="572"/>
      <c r="AD34" s="79"/>
      <c r="AE34" s="79"/>
      <c r="AF34" s="38"/>
    </row>
    <row r="35" spans="13:32" ht="15" customHeight="1" x14ac:dyDescent="0.25"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3:32" ht="15" customHeight="1" x14ac:dyDescent="0.25">
      <c r="M36" s="38"/>
      <c r="N36" s="38"/>
      <c r="O36" s="83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3:32" ht="15" customHeight="1" x14ac:dyDescent="0.25"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3:32" ht="15" customHeight="1" x14ac:dyDescent="0.25">
      <c r="T38" s="84"/>
      <c r="V38" s="85"/>
    </row>
    <row r="39" spans="13:32" ht="15" customHeight="1" x14ac:dyDescent="0.25">
      <c r="Q39" s="84"/>
    </row>
    <row r="40" spans="13:32" ht="15" customHeight="1" x14ac:dyDescent="0.25">
      <c r="Q40" s="84"/>
    </row>
    <row r="41" spans="13:32" ht="15" customHeight="1" x14ac:dyDescent="0.25">
      <c r="Q41" s="84"/>
    </row>
    <row r="42" spans="13:32" ht="15" customHeight="1" x14ac:dyDescent="0.25">
      <c r="Q42" s="84"/>
    </row>
    <row r="43" spans="13:32" ht="15" customHeight="1" x14ac:dyDescent="0.25">
      <c r="Q43" s="84"/>
    </row>
  </sheetData>
  <mergeCells count="31">
    <mergeCell ref="G4:J4"/>
    <mergeCell ref="AD12:AD14"/>
    <mergeCell ref="AE12:AE14"/>
    <mergeCell ref="AB13:AB14"/>
    <mergeCell ref="M23:M26"/>
    <mergeCell ref="M3:M4"/>
    <mergeCell ref="N3:N4"/>
    <mergeCell ref="O3:O4"/>
    <mergeCell ref="P3:P4"/>
    <mergeCell ref="U12:Y12"/>
    <mergeCell ref="V13:V14"/>
    <mergeCell ref="T13:T14"/>
    <mergeCell ref="AC13:AC14"/>
    <mergeCell ref="U13:U14"/>
    <mergeCell ref="X13:X14"/>
    <mergeCell ref="Y13:Y14"/>
    <mergeCell ref="Z13:Z14"/>
    <mergeCell ref="W13:W14"/>
    <mergeCell ref="AA13:AA14"/>
    <mergeCell ref="M31:M34"/>
    <mergeCell ref="Q13:Q14"/>
    <mergeCell ref="S13:S14"/>
    <mergeCell ref="R13:R14"/>
    <mergeCell ref="O13:O14"/>
    <mergeCell ref="P13:P14"/>
    <mergeCell ref="M12:M14"/>
    <mergeCell ref="M15:M18"/>
    <mergeCell ref="M19:M22"/>
    <mergeCell ref="N12:N14"/>
    <mergeCell ref="O12:T12"/>
    <mergeCell ref="M27:M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rgb="FFFFFF00"/>
  </sheetPr>
  <dimension ref="B1:J19"/>
  <sheetViews>
    <sheetView showGridLines="0" zoomScale="120" zoomScaleNormal="120" workbookViewId="0">
      <selection activeCell="A9" sqref="A9"/>
    </sheetView>
  </sheetViews>
  <sheetFormatPr defaultColWidth="13" defaultRowHeight="12.75" x14ac:dyDescent="0.25"/>
  <cols>
    <col min="1" max="1" width="15" style="64" customWidth="1"/>
    <col min="2" max="2" width="18.7109375" style="64" customWidth="1"/>
    <col min="3" max="3" width="17.85546875" style="64" customWidth="1"/>
    <col min="4" max="4" width="15.85546875" style="64" bestFit="1" customWidth="1"/>
    <col min="5" max="5" width="4.28515625" style="64" customWidth="1"/>
    <col min="6" max="6" width="13.42578125" style="64" bestFit="1" customWidth="1"/>
    <col min="7" max="7" width="22" style="64" bestFit="1" customWidth="1"/>
    <col min="8" max="8" width="12.5703125" style="64" bestFit="1" customWidth="1"/>
    <col min="9" max="9" width="12.42578125" style="64" bestFit="1" customWidth="1"/>
    <col min="10" max="16384" width="13" style="64"/>
  </cols>
  <sheetData>
    <row r="1" spans="2:10" ht="15" customHeight="1" x14ac:dyDescent="0.25"/>
    <row r="2" spans="2:10" s="53" customFormat="1" ht="15" customHeight="1" x14ac:dyDescent="0.25">
      <c r="B2" s="599" t="s">
        <v>136</v>
      </c>
      <c r="C2" s="599"/>
      <c r="D2" s="599"/>
      <c r="F2" s="62" t="s">
        <v>137</v>
      </c>
      <c r="G2" s="62"/>
      <c r="H2" s="62"/>
      <c r="I2" s="62"/>
      <c r="J2" s="65"/>
    </row>
    <row r="3" spans="2:10" s="53" customFormat="1" ht="15" customHeight="1" x14ac:dyDescent="0.25">
      <c r="B3" s="602" t="s">
        <v>460</v>
      </c>
      <c r="C3" s="602" t="s">
        <v>461</v>
      </c>
      <c r="D3" s="604" t="s">
        <v>134</v>
      </c>
      <c r="F3" s="57" t="s">
        <v>99</v>
      </c>
      <c r="G3" s="57" t="s">
        <v>100</v>
      </c>
      <c r="H3" s="57" t="s">
        <v>134</v>
      </c>
      <c r="I3" s="57" t="s">
        <v>135</v>
      </c>
      <c r="J3" s="66"/>
    </row>
    <row r="4" spans="2:10" s="53" customFormat="1" ht="15" customHeight="1" x14ac:dyDescent="0.25">
      <c r="B4" s="603"/>
      <c r="C4" s="603"/>
      <c r="D4" s="605"/>
      <c r="F4" s="272" t="s">
        <v>71</v>
      </c>
      <c r="G4" s="276">
        <v>1</v>
      </c>
      <c r="H4" s="90">
        <f>$D$5</f>
        <v>44912985274.431061</v>
      </c>
      <c r="I4" s="92">
        <f>H4*G4</f>
        <v>44912985274.431061</v>
      </c>
      <c r="J4" s="67"/>
    </row>
    <row r="5" spans="2:10" s="53" customFormat="1" ht="15" customHeight="1" x14ac:dyDescent="0.25">
      <c r="B5" s="296">
        <v>6.71E+20</v>
      </c>
      <c r="C5" s="296">
        <f>149400000*100</f>
        <v>14940000000</v>
      </c>
      <c r="D5" s="94">
        <f>B5/C5</f>
        <v>44912985274.431061</v>
      </c>
      <c r="F5" s="272" t="s">
        <v>70</v>
      </c>
      <c r="G5" s="273">
        <v>1.5</v>
      </c>
      <c r="H5" s="90">
        <f t="shared" ref="H5:H17" si="0">$D$5</f>
        <v>44912985274.431061</v>
      </c>
      <c r="I5" s="92">
        <f t="shared" ref="I5:I17" si="1">H5*G5</f>
        <v>67369477911.646591</v>
      </c>
      <c r="J5" s="67"/>
    </row>
    <row r="6" spans="2:10" s="53" customFormat="1" ht="15" customHeight="1" x14ac:dyDescent="0.25">
      <c r="B6" s="58"/>
      <c r="C6" s="70"/>
      <c r="D6" s="38"/>
      <c r="F6" s="272" t="s">
        <v>73</v>
      </c>
      <c r="G6" s="273">
        <v>1</v>
      </c>
      <c r="H6" s="90">
        <f t="shared" si="0"/>
        <v>44912985274.431061</v>
      </c>
      <c r="I6" s="92">
        <f t="shared" si="1"/>
        <v>44912985274.431061</v>
      </c>
      <c r="J6" s="67"/>
    </row>
    <row r="7" spans="2:10" s="53" customFormat="1" ht="15" customHeight="1" x14ac:dyDescent="0.25">
      <c r="B7" s="58"/>
      <c r="C7" s="70"/>
      <c r="D7" s="38"/>
      <c r="F7" s="272" t="s">
        <v>72</v>
      </c>
      <c r="G7" s="273">
        <v>5</v>
      </c>
      <c r="H7" s="90">
        <f t="shared" si="0"/>
        <v>44912985274.431061</v>
      </c>
      <c r="I7" s="92">
        <f t="shared" si="1"/>
        <v>224564926372.1553</v>
      </c>
      <c r="J7" s="67"/>
    </row>
    <row r="8" spans="2:10" s="53" customFormat="1" ht="15" customHeight="1" x14ac:dyDescent="0.25">
      <c r="B8" s="58"/>
      <c r="C8" s="70"/>
      <c r="D8" s="38"/>
      <c r="F8" s="272" t="s">
        <v>75</v>
      </c>
      <c r="G8" s="273">
        <v>1</v>
      </c>
      <c r="H8" s="90">
        <f t="shared" si="0"/>
        <v>44912985274.431061</v>
      </c>
      <c r="I8" s="92">
        <f t="shared" si="1"/>
        <v>44912985274.431061</v>
      </c>
      <c r="J8" s="67"/>
    </row>
    <row r="9" spans="2:10" s="53" customFormat="1" ht="15" customHeight="1" x14ac:dyDescent="0.25">
      <c r="B9" s="58"/>
      <c r="C9" s="70"/>
      <c r="D9" s="38"/>
      <c r="F9" s="272" t="s">
        <v>74</v>
      </c>
      <c r="G9" s="273">
        <v>8</v>
      </c>
      <c r="H9" s="90">
        <f t="shared" si="0"/>
        <v>44912985274.431061</v>
      </c>
      <c r="I9" s="92">
        <f t="shared" si="1"/>
        <v>359303882195.44849</v>
      </c>
      <c r="J9" s="67"/>
    </row>
    <row r="10" spans="2:10" s="53" customFormat="1" ht="15" customHeight="1" x14ac:dyDescent="0.25">
      <c r="B10" s="58"/>
      <c r="C10" s="70"/>
      <c r="D10" s="38"/>
      <c r="F10" s="272" t="s">
        <v>77</v>
      </c>
      <c r="G10" s="273">
        <v>1</v>
      </c>
      <c r="H10" s="90">
        <f t="shared" si="0"/>
        <v>44912985274.431061</v>
      </c>
      <c r="I10" s="92">
        <f t="shared" si="1"/>
        <v>44912985274.431061</v>
      </c>
      <c r="J10" s="67"/>
    </row>
    <row r="11" spans="2:10" s="53" customFormat="1" ht="15" customHeight="1" x14ac:dyDescent="0.25">
      <c r="B11" s="58"/>
      <c r="C11" s="70"/>
      <c r="D11" s="38"/>
      <c r="F11" s="272" t="s">
        <v>76</v>
      </c>
      <c r="G11" s="273">
        <v>14</v>
      </c>
      <c r="H11" s="90">
        <f t="shared" si="0"/>
        <v>44912985274.431061</v>
      </c>
      <c r="I11" s="92">
        <f t="shared" si="1"/>
        <v>628781793842.03491</v>
      </c>
      <c r="J11" s="67"/>
    </row>
    <row r="12" spans="2:10" s="53" customFormat="1" ht="15" customHeight="1" x14ac:dyDescent="0.25">
      <c r="B12" s="58"/>
      <c r="C12" s="70"/>
      <c r="D12" s="38"/>
      <c r="F12" s="272" t="s">
        <v>79</v>
      </c>
      <c r="G12" s="273">
        <v>1</v>
      </c>
      <c r="H12" s="90">
        <f t="shared" si="0"/>
        <v>44912985274.431061</v>
      </c>
      <c r="I12" s="92">
        <f>H12*G12</f>
        <v>44912985274.431061</v>
      </c>
      <c r="J12" s="67"/>
    </row>
    <row r="13" spans="2:10" s="75" customFormat="1" ht="15" customHeight="1" x14ac:dyDescent="0.25">
      <c r="B13" s="58"/>
      <c r="C13" s="70"/>
      <c r="D13" s="38"/>
      <c r="F13" s="272" t="s">
        <v>78</v>
      </c>
      <c r="G13" s="273">
        <v>20</v>
      </c>
      <c r="H13" s="90">
        <f t="shared" si="0"/>
        <v>44912985274.431061</v>
      </c>
      <c r="I13" s="92">
        <f t="shared" si="1"/>
        <v>898259705488.62122</v>
      </c>
      <c r="J13" s="67"/>
    </row>
    <row r="14" spans="2:10" s="75" customFormat="1" ht="15" customHeight="1" x14ac:dyDescent="0.25">
      <c r="B14" s="58"/>
      <c r="C14" s="70"/>
      <c r="D14" s="38"/>
      <c r="F14" s="272" t="s">
        <v>81</v>
      </c>
      <c r="G14" s="273">
        <v>1</v>
      </c>
      <c r="H14" s="90">
        <f t="shared" si="0"/>
        <v>44912985274.431061</v>
      </c>
      <c r="I14" s="92">
        <f t="shared" si="1"/>
        <v>44912985274.431061</v>
      </c>
      <c r="J14" s="67"/>
    </row>
    <row r="15" spans="2:10" s="75" customFormat="1" ht="15" customHeight="1" x14ac:dyDescent="0.25">
      <c r="B15" s="58"/>
      <c r="C15" s="70"/>
      <c r="D15" s="38"/>
      <c r="F15" s="272" t="s">
        <v>80</v>
      </c>
      <c r="G15" s="273">
        <v>26</v>
      </c>
      <c r="H15" s="90">
        <f t="shared" si="0"/>
        <v>44912985274.431061</v>
      </c>
      <c r="I15" s="92">
        <f t="shared" si="1"/>
        <v>1167737617135.2075</v>
      </c>
      <c r="J15" s="67"/>
    </row>
    <row r="16" spans="2:10" s="75" customFormat="1" ht="15" customHeight="1" x14ac:dyDescent="0.25">
      <c r="B16" s="86"/>
      <c r="C16" s="87"/>
      <c r="D16" s="74"/>
      <c r="F16" s="272" t="s">
        <v>83</v>
      </c>
      <c r="G16" s="273">
        <v>1</v>
      </c>
      <c r="H16" s="90">
        <f t="shared" si="0"/>
        <v>44912985274.431061</v>
      </c>
      <c r="I16" s="92">
        <f t="shared" si="1"/>
        <v>44912985274.431061</v>
      </c>
      <c r="J16" s="67"/>
    </row>
    <row r="17" spans="2:10" s="75" customFormat="1" ht="15" customHeight="1" x14ac:dyDescent="0.25">
      <c r="B17" s="68"/>
      <c r="C17" s="68"/>
      <c r="D17" s="68"/>
      <c r="F17" s="277" t="s">
        <v>82</v>
      </c>
      <c r="G17" s="278">
        <v>200</v>
      </c>
      <c r="H17" s="91">
        <f t="shared" si="0"/>
        <v>44912985274.431061</v>
      </c>
      <c r="I17" s="93">
        <f t="shared" si="1"/>
        <v>8982597054886.2129</v>
      </c>
      <c r="J17" s="67"/>
    </row>
    <row r="18" spans="2:10" s="75" customFormat="1" ht="15" customHeight="1" x14ac:dyDescent="0.25">
      <c r="J18" s="68"/>
    </row>
    <row r="19" spans="2:10" ht="15" customHeight="1" x14ac:dyDescent="0.25"/>
  </sheetData>
  <mergeCells count="4">
    <mergeCell ref="B2:D2"/>
    <mergeCell ref="B3:B4"/>
    <mergeCell ref="C3:C4"/>
    <mergeCell ref="D3:D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FFFF00"/>
  </sheetPr>
  <dimension ref="B1:H19"/>
  <sheetViews>
    <sheetView showGridLines="0" workbookViewId="0">
      <selection activeCell="A2" sqref="A2"/>
    </sheetView>
  </sheetViews>
  <sheetFormatPr defaultColWidth="13" defaultRowHeight="12.75" x14ac:dyDescent="0.25"/>
  <cols>
    <col min="1" max="1" width="6.140625" style="64" customWidth="1"/>
    <col min="2" max="2" width="13.42578125" style="64" bestFit="1" customWidth="1"/>
    <col min="3" max="3" width="22" style="64" bestFit="1" customWidth="1"/>
    <col min="4" max="4" width="14.85546875" style="64" bestFit="1" customWidth="1"/>
    <col min="5" max="5" width="17.5703125" style="64" bestFit="1" customWidth="1"/>
    <col min="6" max="6" width="18.85546875" style="64" bestFit="1" customWidth="1"/>
    <col min="7" max="7" width="18.5703125" style="64" bestFit="1" customWidth="1"/>
    <col min="8" max="8" width="23.5703125" style="64" bestFit="1" customWidth="1"/>
    <col min="9" max="9" width="7.28515625" style="64" customWidth="1"/>
    <col min="10" max="10" width="12.7109375" style="64" customWidth="1"/>
    <col min="11" max="11" width="15.5703125" style="64" customWidth="1"/>
    <col min="12" max="13" width="16.7109375" style="64" customWidth="1"/>
    <col min="14" max="14" width="18" style="64" customWidth="1"/>
    <col min="15" max="15" width="10.140625" style="64" customWidth="1"/>
    <col min="16" max="16384" width="13" style="64"/>
  </cols>
  <sheetData>
    <row r="1" spans="2:8" ht="12" customHeight="1" x14ac:dyDescent="0.25"/>
    <row r="3" spans="2:8" x14ac:dyDescent="0.25">
      <c r="B3" s="606" t="s">
        <v>144</v>
      </c>
      <c r="C3" s="606"/>
      <c r="D3" s="606"/>
      <c r="E3" s="606"/>
      <c r="F3" s="606"/>
      <c r="G3" s="606"/>
      <c r="H3" s="606"/>
    </row>
    <row r="4" spans="2:8" ht="14.25" x14ac:dyDescent="0.25">
      <c r="B4" s="57" t="s">
        <v>99</v>
      </c>
      <c r="C4" s="57" t="s">
        <v>100</v>
      </c>
      <c r="D4" s="55" t="s">
        <v>138</v>
      </c>
      <c r="E4" s="55" t="s">
        <v>139</v>
      </c>
      <c r="F4" s="55" t="s">
        <v>140</v>
      </c>
      <c r="G4" s="55" t="s">
        <v>141</v>
      </c>
      <c r="H4" s="55" t="s">
        <v>406</v>
      </c>
    </row>
    <row r="5" spans="2:8" x14ac:dyDescent="0.25">
      <c r="B5" s="272" t="s">
        <v>143</v>
      </c>
      <c r="C5" s="276" t="s">
        <v>142</v>
      </c>
      <c r="D5" s="292">
        <v>0</v>
      </c>
      <c r="E5" s="107">
        <f>(D5*60)*60*24*365</f>
        <v>0</v>
      </c>
      <c r="F5" s="105">
        <f>E5/1000</f>
        <v>0</v>
      </c>
      <c r="G5" s="105">
        <f>F5*1000</f>
        <v>0</v>
      </c>
      <c r="H5" s="89">
        <f>F5*1000*5000</f>
        <v>0</v>
      </c>
    </row>
    <row r="6" spans="2:8" x14ac:dyDescent="0.25">
      <c r="B6" s="272" t="s">
        <v>143</v>
      </c>
      <c r="C6" s="276" t="s">
        <v>142</v>
      </c>
      <c r="D6" s="293">
        <v>0</v>
      </c>
      <c r="E6" s="108">
        <f t="shared" ref="E6:E18" si="0">(D6*60)*60*24*365</f>
        <v>0</v>
      </c>
      <c r="F6" s="104">
        <f t="shared" ref="F6:F18" si="1">E6/1000</f>
        <v>0</v>
      </c>
      <c r="G6" s="104">
        <f t="shared" ref="G6:G18" si="2">F6*1000</f>
        <v>0</v>
      </c>
      <c r="H6" s="23">
        <f t="shared" ref="H6:H18" si="3">F6*1000*5000</f>
        <v>0</v>
      </c>
    </row>
    <row r="7" spans="2:8" x14ac:dyDescent="0.25">
      <c r="B7" s="272" t="s">
        <v>143</v>
      </c>
      <c r="C7" s="276" t="s">
        <v>142</v>
      </c>
      <c r="D7" s="293">
        <v>0</v>
      </c>
      <c r="E7" s="108">
        <f t="shared" si="0"/>
        <v>0</v>
      </c>
      <c r="F7" s="104">
        <f t="shared" si="1"/>
        <v>0</v>
      </c>
      <c r="G7" s="104">
        <f t="shared" si="2"/>
        <v>0</v>
      </c>
      <c r="H7" s="23">
        <f t="shared" si="3"/>
        <v>0</v>
      </c>
    </row>
    <row r="8" spans="2:8" x14ac:dyDescent="0.25">
      <c r="B8" s="272" t="s">
        <v>143</v>
      </c>
      <c r="C8" s="276" t="s">
        <v>142</v>
      </c>
      <c r="D8" s="293">
        <v>0</v>
      </c>
      <c r="E8" s="108">
        <f t="shared" si="0"/>
        <v>0</v>
      </c>
      <c r="F8" s="104">
        <f t="shared" si="1"/>
        <v>0</v>
      </c>
      <c r="G8" s="104">
        <f t="shared" si="2"/>
        <v>0</v>
      </c>
      <c r="H8" s="23">
        <f t="shared" si="3"/>
        <v>0</v>
      </c>
    </row>
    <row r="9" spans="2:8" x14ac:dyDescent="0.25">
      <c r="B9" s="272" t="s">
        <v>143</v>
      </c>
      <c r="C9" s="276" t="s">
        <v>142</v>
      </c>
      <c r="D9" s="293">
        <v>0</v>
      </c>
      <c r="E9" s="108">
        <f t="shared" si="0"/>
        <v>0</v>
      </c>
      <c r="F9" s="104">
        <f t="shared" si="1"/>
        <v>0</v>
      </c>
      <c r="G9" s="104">
        <f t="shared" si="2"/>
        <v>0</v>
      </c>
      <c r="H9" s="23">
        <f t="shared" si="3"/>
        <v>0</v>
      </c>
    </row>
    <row r="10" spans="2:8" x14ac:dyDescent="0.25">
      <c r="B10" s="272" t="s">
        <v>143</v>
      </c>
      <c r="C10" s="276" t="s">
        <v>142</v>
      </c>
      <c r="D10" s="293">
        <v>0</v>
      </c>
      <c r="E10" s="108">
        <f t="shared" si="0"/>
        <v>0</v>
      </c>
      <c r="F10" s="104">
        <f t="shared" si="1"/>
        <v>0</v>
      </c>
      <c r="G10" s="104">
        <f t="shared" si="2"/>
        <v>0</v>
      </c>
      <c r="H10" s="23">
        <f t="shared" si="3"/>
        <v>0</v>
      </c>
    </row>
    <row r="11" spans="2:8" x14ac:dyDescent="0.25">
      <c r="B11" s="272" t="s">
        <v>143</v>
      </c>
      <c r="C11" s="276" t="s">
        <v>142</v>
      </c>
      <c r="D11" s="293">
        <v>0</v>
      </c>
      <c r="E11" s="108">
        <f t="shared" si="0"/>
        <v>0</v>
      </c>
      <c r="F11" s="104">
        <f t="shared" si="1"/>
        <v>0</v>
      </c>
      <c r="G11" s="104">
        <f t="shared" si="2"/>
        <v>0</v>
      </c>
      <c r="H11" s="23">
        <f t="shared" si="3"/>
        <v>0</v>
      </c>
    </row>
    <row r="12" spans="2:8" x14ac:dyDescent="0.25">
      <c r="B12" s="272" t="s">
        <v>143</v>
      </c>
      <c r="C12" s="276" t="s">
        <v>142</v>
      </c>
      <c r="D12" s="293">
        <v>0</v>
      </c>
      <c r="E12" s="108">
        <f t="shared" si="0"/>
        <v>0</v>
      </c>
      <c r="F12" s="104">
        <f t="shared" si="1"/>
        <v>0</v>
      </c>
      <c r="G12" s="104">
        <f t="shared" si="2"/>
        <v>0</v>
      </c>
      <c r="H12" s="23">
        <f t="shared" si="3"/>
        <v>0</v>
      </c>
    </row>
    <row r="13" spans="2:8" x14ac:dyDescent="0.25">
      <c r="B13" s="272" t="s">
        <v>143</v>
      </c>
      <c r="C13" s="276" t="s">
        <v>142</v>
      </c>
      <c r="D13" s="293">
        <v>0</v>
      </c>
      <c r="E13" s="108">
        <f t="shared" si="0"/>
        <v>0</v>
      </c>
      <c r="F13" s="104">
        <f t="shared" si="1"/>
        <v>0</v>
      </c>
      <c r="G13" s="104">
        <f t="shared" si="2"/>
        <v>0</v>
      </c>
      <c r="H13" s="23">
        <f t="shared" si="3"/>
        <v>0</v>
      </c>
    </row>
    <row r="14" spans="2:8" x14ac:dyDescent="0.25">
      <c r="B14" s="272" t="s">
        <v>143</v>
      </c>
      <c r="C14" s="276" t="s">
        <v>142</v>
      </c>
      <c r="D14" s="293">
        <v>0</v>
      </c>
      <c r="E14" s="108">
        <f t="shared" si="0"/>
        <v>0</v>
      </c>
      <c r="F14" s="104">
        <f t="shared" si="1"/>
        <v>0</v>
      </c>
      <c r="G14" s="104">
        <f t="shared" si="2"/>
        <v>0</v>
      </c>
      <c r="H14" s="23">
        <f t="shared" si="3"/>
        <v>0</v>
      </c>
    </row>
    <row r="15" spans="2:8" x14ac:dyDescent="0.25">
      <c r="B15" s="272" t="s">
        <v>143</v>
      </c>
      <c r="C15" s="276" t="s">
        <v>142</v>
      </c>
      <c r="D15" s="293">
        <v>0</v>
      </c>
      <c r="E15" s="108">
        <f t="shared" si="0"/>
        <v>0</v>
      </c>
      <c r="F15" s="104">
        <f t="shared" si="1"/>
        <v>0</v>
      </c>
      <c r="G15" s="104">
        <f t="shared" si="2"/>
        <v>0</v>
      </c>
      <c r="H15" s="23">
        <f t="shared" si="3"/>
        <v>0</v>
      </c>
    </row>
    <row r="16" spans="2:8" x14ac:dyDescent="0.25">
      <c r="B16" s="272" t="s">
        <v>143</v>
      </c>
      <c r="C16" s="276" t="s">
        <v>142</v>
      </c>
      <c r="D16" s="293">
        <v>0</v>
      </c>
      <c r="E16" s="108">
        <f t="shared" si="0"/>
        <v>0</v>
      </c>
      <c r="F16" s="104">
        <f t="shared" si="1"/>
        <v>0</v>
      </c>
      <c r="G16" s="104">
        <f t="shared" si="2"/>
        <v>0</v>
      </c>
      <c r="H16" s="23">
        <f t="shared" si="3"/>
        <v>0</v>
      </c>
    </row>
    <row r="17" spans="2:8" x14ac:dyDescent="0.25">
      <c r="B17" s="272" t="s">
        <v>143</v>
      </c>
      <c r="C17" s="276" t="s">
        <v>142</v>
      </c>
      <c r="D17" s="293">
        <v>0</v>
      </c>
      <c r="E17" s="108">
        <f t="shared" si="0"/>
        <v>0</v>
      </c>
      <c r="F17" s="104">
        <f t="shared" si="1"/>
        <v>0</v>
      </c>
      <c r="G17" s="104">
        <f t="shared" si="2"/>
        <v>0</v>
      </c>
      <c r="H17" s="23">
        <f t="shared" si="3"/>
        <v>0</v>
      </c>
    </row>
    <row r="18" spans="2:8" x14ac:dyDescent="0.25">
      <c r="B18" s="277" t="s">
        <v>143</v>
      </c>
      <c r="C18" s="294" t="s">
        <v>142</v>
      </c>
      <c r="D18" s="295">
        <v>0</v>
      </c>
      <c r="E18" s="109">
        <f t="shared" si="0"/>
        <v>0</v>
      </c>
      <c r="F18" s="106">
        <f t="shared" si="1"/>
        <v>0</v>
      </c>
      <c r="G18" s="106">
        <f t="shared" si="2"/>
        <v>0</v>
      </c>
      <c r="H18" s="24">
        <f t="shared" si="3"/>
        <v>0</v>
      </c>
    </row>
    <row r="19" spans="2:8" ht="25.5" x14ac:dyDescent="0.25">
      <c r="B19" s="277" t="s">
        <v>415</v>
      </c>
      <c r="C19" s="493" t="s">
        <v>414</v>
      </c>
      <c r="D19" s="295">
        <v>0</v>
      </c>
      <c r="E19" s="494">
        <f>(D19*60)*60*24*365</f>
        <v>0</v>
      </c>
      <c r="F19" s="495">
        <f t="shared" ref="F19" si="4">E19/1000</f>
        <v>0</v>
      </c>
      <c r="G19" s="495">
        <f t="shared" ref="G19" si="5">F19*1000</f>
        <v>0</v>
      </c>
      <c r="H19" s="24">
        <f t="shared" ref="H19" si="6">F19*1000*5000</f>
        <v>0</v>
      </c>
    </row>
  </sheetData>
  <mergeCells count="1">
    <mergeCell ref="B3:H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rgb="FFFFFF00"/>
  </sheetPr>
  <dimension ref="A2:P231"/>
  <sheetViews>
    <sheetView showGridLines="0" zoomScaleNormal="100" workbookViewId="0"/>
  </sheetViews>
  <sheetFormatPr defaultRowHeight="12.75" x14ac:dyDescent="0.25"/>
  <cols>
    <col min="1" max="1" width="6.140625" style="146" customWidth="1"/>
    <col min="2" max="2" width="13.42578125" style="146" bestFit="1" customWidth="1"/>
    <col min="3" max="3" width="22" style="146" bestFit="1" customWidth="1"/>
    <col min="4" max="4" width="15" style="146" bestFit="1" customWidth="1"/>
    <col min="5" max="5" width="15.140625" style="146" customWidth="1"/>
    <col min="6" max="6" width="26.140625" style="146" bestFit="1" customWidth="1"/>
    <col min="7" max="7" width="12.85546875" style="146" bestFit="1" customWidth="1"/>
    <col min="8" max="9" width="11.28515625" style="146" bestFit="1" customWidth="1"/>
    <col min="10" max="10" width="14.140625" style="53" bestFit="1" customWidth="1"/>
    <col min="11" max="11" width="11.7109375" style="53" customWidth="1"/>
    <col min="12" max="14" width="9.140625" style="53"/>
    <col min="15" max="15" width="10.5703125" style="53" customWidth="1"/>
    <col min="16" max="16384" width="9.140625" style="53"/>
  </cols>
  <sheetData>
    <row r="2" spans="1:16" x14ac:dyDescent="0.25">
      <c r="B2" s="599" t="s">
        <v>462</v>
      </c>
      <c r="C2" s="599"/>
      <c r="D2" s="599"/>
      <c r="E2" s="599"/>
      <c r="F2" s="599"/>
    </row>
    <row r="3" spans="1:16" ht="38.25" x14ac:dyDescent="0.25">
      <c r="B3" s="147" t="s">
        <v>99</v>
      </c>
      <c r="C3" s="147" t="s">
        <v>100</v>
      </c>
      <c r="D3" s="188" t="s">
        <v>276</v>
      </c>
      <c r="E3" s="188" t="s">
        <v>275</v>
      </c>
      <c r="F3" s="188" t="s">
        <v>274</v>
      </c>
      <c r="G3" s="188" t="s">
        <v>273</v>
      </c>
      <c r="H3" s="188" t="s">
        <v>278</v>
      </c>
      <c r="I3" s="188" t="s">
        <v>277</v>
      </c>
      <c r="J3" s="188" t="s">
        <v>342</v>
      </c>
    </row>
    <row r="4" spans="1:16" s="75" customFormat="1" x14ac:dyDescent="0.25">
      <c r="A4" s="146"/>
      <c r="B4" s="272" t="s">
        <v>71</v>
      </c>
      <c r="C4" s="276">
        <v>1</v>
      </c>
      <c r="D4" s="367"/>
      <c r="E4" s="104">
        <f t="shared" ref="E4:E17" si="0">D4*0.37</f>
        <v>0</v>
      </c>
      <c r="F4" s="370">
        <v>0</v>
      </c>
      <c r="G4" s="378">
        <f>F4*0.47</f>
        <v>0</v>
      </c>
      <c r="H4" s="378">
        <f>D4+F4</f>
        <v>0</v>
      </c>
      <c r="I4" s="379">
        <f>E4+G4</f>
        <v>0</v>
      </c>
      <c r="J4" s="380">
        <f>(((C4+1)*F4)/C4)-F4</f>
        <v>0</v>
      </c>
    </row>
    <row r="5" spans="1:16" ht="15" customHeight="1" x14ac:dyDescent="0.25">
      <c r="B5" s="272" t="s">
        <v>70</v>
      </c>
      <c r="C5" s="273">
        <v>1.5</v>
      </c>
      <c r="D5" s="368">
        <v>3986.9333333333302</v>
      </c>
      <c r="E5" s="104">
        <f t="shared" si="0"/>
        <v>1475.1653333333322</v>
      </c>
      <c r="F5" s="368">
        <v>53363.885100569903</v>
      </c>
      <c r="G5" s="378">
        <f>F5*0.47</f>
        <v>25081.025997267854</v>
      </c>
      <c r="H5" s="378">
        <f>D5+F5</f>
        <v>57350.81843390323</v>
      </c>
      <c r="I5" s="381">
        <f>E5+G5</f>
        <v>26556.191330601185</v>
      </c>
      <c r="J5" s="380">
        <f>((((C5+1)*F5)/C5)-F5)*0.47</f>
        <v>16720.683998178567</v>
      </c>
    </row>
    <row r="6" spans="1:16" x14ac:dyDescent="0.25">
      <c r="B6" s="272" t="s">
        <v>73</v>
      </c>
      <c r="C6" s="273">
        <v>1</v>
      </c>
      <c r="D6" s="368"/>
      <c r="E6" s="104">
        <f t="shared" si="0"/>
        <v>0</v>
      </c>
      <c r="F6" s="368"/>
      <c r="G6" s="378">
        <f t="shared" ref="G6:G17" si="1">F6*0.47</f>
        <v>0</v>
      </c>
      <c r="H6" s="378">
        <f t="shared" ref="H6:H17" si="2">D6+F6</f>
        <v>0</v>
      </c>
      <c r="I6" s="381">
        <f t="shared" ref="I6:I17" si="3">E6+G6</f>
        <v>0</v>
      </c>
      <c r="J6" s="380">
        <f t="shared" ref="J6:J16" si="4">((((C6+1)*F6)/C6)-F6)*0.47</f>
        <v>0</v>
      </c>
    </row>
    <row r="7" spans="1:16" ht="15.75" customHeight="1" x14ac:dyDescent="0.25">
      <c r="B7" s="272" t="s">
        <v>72</v>
      </c>
      <c r="C7" s="273">
        <v>5</v>
      </c>
      <c r="D7" s="368">
        <v>8618.5333333333292</v>
      </c>
      <c r="E7" s="104">
        <f t="shared" si="0"/>
        <v>3188.8573333333316</v>
      </c>
      <c r="F7" s="368">
        <v>58125.204155066203</v>
      </c>
      <c r="G7" s="378">
        <f t="shared" si="1"/>
        <v>27318.845952881114</v>
      </c>
      <c r="H7" s="378">
        <f t="shared" si="2"/>
        <v>66743.737488399536</v>
      </c>
      <c r="I7" s="381">
        <f t="shared" si="3"/>
        <v>30507.703286214448</v>
      </c>
      <c r="J7" s="380">
        <f t="shared" si="4"/>
        <v>5463.7691905762231</v>
      </c>
    </row>
    <row r="8" spans="1:16" x14ac:dyDescent="0.25">
      <c r="B8" s="272" t="s">
        <v>75</v>
      </c>
      <c r="C8" s="273">
        <v>1</v>
      </c>
      <c r="D8" s="368"/>
      <c r="E8" s="104">
        <f t="shared" si="0"/>
        <v>0</v>
      </c>
      <c r="F8" s="368"/>
      <c r="G8" s="378">
        <f t="shared" si="1"/>
        <v>0</v>
      </c>
      <c r="H8" s="378">
        <f t="shared" si="2"/>
        <v>0</v>
      </c>
      <c r="I8" s="381">
        <f t="shared" si="3"/>
        <v>0</v>
      </c>
      <c r="J8" s="380">
        <f t="shared" si="4"/>
        <v>0</v>
      </c>
    </row>
    <row r="9" spans="1:16" x14ac:dyDescent="0.25">
      <c r="B9" s="272" t="s">
        <v>74</v>
      </c>
      <c r="C9" s="273">
        <v>8</v>
      </c>
      <c r="D9" s="368">
        <v>7720.9333333333298</v>
      </c>
      <c r="E9" s="104">
        <f t="shared" si="0"/>
        <v>2856.7453333333319</v>
      </c>
      <c r="F9" s="368">
        <v>45418.808748515199</v>
      </c>
      <c r="G9" s="378">
        <f t="shared" si="1"/>
        <v>21346.840111802143</v>
      </c>
      <c r="H9" s="378">
        <f t="shared" si="2"/>
        <v>53139.742081848526</v>
      </c>
      <c r="I9" s="381">
        <f t="shared" si="3"/>
        <v>24203.585445135475</v>
      </c>
      <c r="J9" s="380">
        <f t="shared" si="4"/>
        <v>2668.3550139752683</v>
      </c>
      <c r="P9" s="84"/>
    </row>
    <row r="10" spans="1:16" x14ac:dyDescent="0.25">
      <c r="B10" s="272" t="s">
        <v>77</v>
      </c>
      <c r="C10" s="273">
        <v>1</v>
      </c>
      <c r="D10" s="368"/>
      <c r="E10" s="104">
        <f t="shared" si="0"/>
        <v>0</v>
      </c>
      <c r="F10" s="368"/>
      <c r="G10" s="378">
        <f t="shared" si="1"/>
        <v>0</v>
      </c>
      <c r="H10" s="378">
        <f t="shared" si="2"/>
        <v>0</v>
      </c>
      <c r="I10" s="381">
        <f t="shared" si="3"/>
        <v>0</v>
      </c>
      <c r="J10" s="380">
        <f t="shared" si="4"/>
        <v>0</v>
      </c>
      <c r="P10" s="84"/>
    </row>
    <row r="11" spans="1:16" x14ac:dyDescent="0.25">
      <c r="B11" s="272" t="s">
        <v>76</v>
      </c>
      <c r="C11" s="273">
        <v>14</v>
      </c>
      <c r="D11" s="368">
        <v>10923.1333333333</v>
      </c>
      <c r="E11" s="104">
        <f t="shared" si="0"/>
        <v>4041.5593333333213</v>
      </c>
      <c r="F11" s="368">
        <v>93001.636303177598</v>
      </c>
      <c r="G11" s="378">
        <f t="shared" si="1"/>
        <v>43710.769062493469</v>
      </c>
      <c r="H11" s="378">
        <f t="shared" si="2"/>
        <v>103924.7696365109</v>
      </c>
      <c r="I11" s="381">
        <f t="shared" si="3"/>
        <v>47752.328395826793</v>
      </c>
      <c r="J11" s="380">
        <f t="shared" si="4"/>
        <v>3122.1977901781088</v>
      </c>
      <c r="P11" s="84"/>
    </row>
    <row r="12" spans="1:16" ht="15" customHeight="1" x14ac:dyDescent="0.25">
      <c r="B12" s="272" t="s">
        <v>79</v>
      </c>
      <c r="C12" s="273">
        <v>1</v>
      </c>
      <c r="D12" s="368"/>
      <c r="E12" s="104">
        <f t="shared" si="0"/>
        <v>0</v>
      </c>
      <c r="F12" s="368"/>
      <c r="G12" s="378">
        <f t="shared" si="1"/>
        <v>0</v>
      </c>
      <c r="H12" s="378">
        <f t="shared" si="2"/>
        <v>0</v>
      </c>
      <c r="I12" s="381">
        <f t="shared" si="3"/>
        <v>0</v>
      </c>
      <c r="J12" s="380">
        <f t="shared" si="4"/>
        <v>0</v>
      </c>
      <c r="P12" s="84"/>
    </row>
    <row r="13" spans="1:16" ht="15" customHeight="1" x14ac:dyDescent="0.25">
      <c r="B13" s="272" t="s">
        <v>78</v>
      </c>
      <c r="C13" s="273">
        <v>20</v>
      </c>
      <c r="D13" s="368">
        <v>10806.5333333333</v>
      </c>
      <c r="E13" s="104">
        <f t="shared" si="0"/>
        <v>3998.417333333321</v>
      </c>
      <c r="F13" s="368">
        <v>159587.963704611</v>
      </c>
      <c r="G13" s="378">
        <f t="shared" si="1"/>
        <v>75006.342941167168</v>
      </c>
      <c r="H13" s="378">
        <f t="shared" si="2"/>
        <v>170394.4970379443</v>
      </c>
      <c r="I13" s="381">
        <f t="shared" si="3"/>
        <v>79004.760274500484</v>
      </c>
      <c r="J13" s="380">
        <f t="shared" si="4"/>
        <v>3750.3171470583625</v>
      </c>
      <c r="P13" s="84"/>
    </row>
    <row r="14" spans="1:16" s="75" customFormat="1" ht="15" customHeight="1" x14ac:dyDescent="0.25">
      <c r="A14" s="146"/>
      <c r="B14" s="272" t="s">
        <v>81</v>
      </c>
      <c r="C14" s="273">
        <v>1</v>
      </c>
      <c r="D14" s="368"/>
      <c r="E14" s="104">
        <f t="shared" si="0"/>
        <v>0</v>
      </c>
      <c r="F14" s="368"/>
      <c r="G14" s="378">
        <f t="shared" si="1"/>
        <v>0</v>
      </c>
      <c r="H14" s="378">
        <f t="shared" si="2"/>
        <v>0</v>
      </c>
      <c r="I14" s="381">
        <f t="shared" si="3"/>
        <v>0</v>
      </c>
      <c r="J14" s="380">
        <f t="shared" si="4"/>
        <v>0</v>
      </c>
    </row>
    <row r="15" spans="1:16" ht="15" customHeight="1" x14ac:dyDescent="0.25">
      <c r="B15" s="272" t="s">
        <v>80</v>
      </c>
      <c r="C15" s="273">
        <v>26</v>
      </c>
      <c r="D15" s="368">
        <v>11695.5333333333</v>
      </c>
      <c r="E15" s="104">
        <f t="shared" si="0"/>
        <v>4327.3473333333213</v>
      </c>
      <c r="F15" s="368">
        <v>161806.53235764001</v>
      </c>
      <c r="G15" s="378">
        <f>F15*0.47</f>
        <v>76049.070208090794</v>
      </c>
      <c r="H15" s="378">
        <f>D15+F15</f>
        <v>173502.06569097331</v>
      </c>
      <c r="I15" s="381">
        <f t="shared" si="3"/>
        <v>80376.417541424118</v>
      </c>
      <c r="J15" s="380">
        <f t="shared" si="4"/>
        <v>2924.9642387727267</v>
      </c>
    </row>
    <row r="16" spans="1:16" ht="15" customHeight="1" x14ac:dyDescent="0.25">
      <c r="B16" s="272" t="s">
        <v>83</v>
      </c>
      <c r="C16" s="273">
        <v>1</v>
      </c>
      <c r="D16" s="368"/>
      <c r="E16" s="104">
        <f t="shared" si="0"/>
        <v>0</v>
      </c>
      <c r="F16" s="368"/>
      <c r="G16" s="378">
        <f>F16*0.47</f>
        <v>0</v>
      </c>
      <c r="H16" s="378">
        <f>D16+F16</f>
        <v>0</v>
      </c>
      <c r="I16" s="381">
        <f t="shared" si="3"/>
        <v>0</v>
      </c>
      <c r="J16" s="380">
        <f t="shared" si="4"/>
        <v>0</v>
      </c>
    </row>
    <row r="17" spans="1:10" ht="15" customHeight="1" x14ac:dyDescent="0.25">
      <c r="B17" s="277" t="s">
        <v>82</v>
      </c>
      <c r="C17" s="278">
        <v>200</v>
      </c>
      <c r="D17" s="369">
        <v>14588.5333333333</v>
      </c>
      <c r="E17" s="106">
        <f t="shared" si="0"/>
        <v>5397.7573333333212</v>
      </c>
      <c r="F17" s="369">
        <v>664520.38891501597</v>
      </c>
      <c r="G17" s="382">
        <f t="shared" si="1"/>
        <v>312324.58279005747</v>
      </c>
      <c r="H17" s="382">
        <f t="shared" si="2"/>
        <v>679108.92224834929</v>
      </c>
      <c r="I17" s="383">
        <f t="shared" si="3"/>
        <v>317722.34012339078</v>
      </c>
      <c r="J17" s="384">
        <f>((((C17+1)*F17)/C17)-F17)*0.47</f>
        <v>1561.6229139502905</v>
      </c>
    </row>
    <row r="18" spans="1:10" ht="15" customHeight="1" x14ac:dyDescent="0.25">
      <c r="F18" s="194"/>
    </row>
    <row r="19" spans="1:10" ht="15" customHeight="1" x14ac:dyDescent="0.25">
      <c r="B19" s="50" t="s">
        <v>31</v>
      </c>
      <c r="C19" s="50"/>
      <c r="D19" s="50"/>
      <c r="F19" s="194"/>
    </row>
    <row r="20" spans="1:10" ht="15" customHeight="1" x14ac:dyDescent="0.25">
      <c r="B20" s="191" t="s">
        <v>28</v>
      </c>
      <c r="C20" s="192">
        <v>12.0107</v>
      </c>
      <c r="D20" s="82" t="s">
        <v>30</v>
      </c>
    </row>
    <row r="21" spans="1:10" ht="15" customHeight="1" x14ac:dyDescent="0.25">
      <c r="B21" s="179" t="s">
        <v>13</v>
      </c>
      <c r="C21" s="112">
        <v>1.0079400000000001</v>
      </c>
      <c r="D21" s="38" t="s">
        <v>30</v>
      </c>
    </row>
    <row r="22" spans="1:10" ht="15" customHeight="1" x14ac:dyDescent="0.25">
      <c r="B22" s="140" t="s">
        <v>29</v>
      </c>
      <c r="C22" s="114">
        <v>15.9994</v>
      </c>
      <c r="D22" s="73" t="s">
        <v>30</v>
      </c>
    </row>
    <row r="23" spans="1:10" s="75" customFormat="1" ht="15" customHeight="1" x14ac:dyDescent="0.25">
      <c r="A23" s="146"/>
      <c r="B23" s="607" t="s">
        <v>464</v>
      </c>
      <c r="C23" s="607"/>
      <c r="D23" s="193">
        <f>(C22*2)/C20</f>
        <v>2.6641910962724902</v>
      </c>
      <c r="I23" s="76"/>
    </row>
    <row r="24" spans="1:10" ht="15" customHeight="1" x14ac:dyDescent="0.25"/>
    <row r="25" spans="1:10" ht="15" customHeight="1" x14ac:dyDescent="0.25">
      <c r="B25" s="599" t="s">
        <v>463</v>
      </c>
      <c r="C25" s="599"/>
      <c r="D25" s="599"/>
      <c r="G25" s="194"/>
    </row>
    <row r="26" spans="1:10" ht="34.5" customHeight="1" x14ac:dyDescent="0.25">
      <c r="B26" s="147" t="s">
        <v>99</v>
      </c>
      <c r="C26" s="147" t="s">
        <v>100</v>
      </c>
      <c r="D26" s="188" t="s">
        <v>341</v>
      </c>
      <c r="E26" s="188" t="s">
        <v>436</v>
      </c>
      <c r="G26" s="194"/>
    </row>
    <row r="27" spans="1:10" ht="15" customHeight="1" x14ac:dyDescent="0.25">
      <c r="B27" s="272" t="s">
        <v>71</v>
      </c>
      <c r="C27" s="276">
        <v>1</v>
      </c>
      <c r="D27" s="218">
        <f>((J4)+E4)*$D$23</f>
        <v>0</v>
      </c>
      <c r="E27" s="385">
        <f>((G4))*$D$23</f>
        <v>0</v>
      </c>
    </row>
    <row r="28" spans="1:10" ht="15" customHeight="1" x14ac:dyDescent="0.25">
      <c r="B28" s="272" t="s">
        <v>70</v>
      </c>
      <c r="C28" s="273">
        <v>1.5</v>
      </c>
      <c r="D28" s="385">
        <f>((J5)+E5)*$D$23</f>
        <v>48477.219778129744</v>
      </c>
      <c r="E28" s="385">
        <f>((G5))*$D$23</f>
        <v>66820.646147299864</v>
      </c>
    </row>
    <row r="29" spans="1:10" s="75" customFormat="1" ht="15" customHeight="1" x14ac:dyDescent="0.25">
      <c r="A29" s="146"/>
      <c r="B29" s="272" t="s">
        <v>73</v>
      </c>
      <c r="C29" s="273">
        <v>1</v>
      </c>
      <c r="D29" s="385">
        <f t="shared" ref="D29:D40" si="5">((J6)+E6)*$D$23</f>
        <v>0</v>
      </c>
      <c r="E29" s="385">
        <f t="shared" ref="E29:E39" si="6">((G6))*$D$23</f>
        <v>0</v>
      </c>
      <c r="F29" s="146"/>
      <c r="G29" s="146"/>
      <c r="H29" s="146"/>
      <c r="I29" s="146"/>
    </row>
    <row r="30" spans="1:10" ht="15" customHeight="1" x14ac:dyDescent="0.25">
      <c r="B30" s="272" t="s">
        <v>72</v>
      </c>
      <c r="C30" s="273">
        <v>5</v>
      </c>
      <c r="D30" s="385">
        <f t="shared" si="5"/>
        <v>23052.250544371025</v>
      </c>
      <c r="E30" s="385">
        <f t="shared" si="6"/>
        <v>72782.626148105614</v>
      </c>
    </row>
    <row r="31" spans="1:10" ht="15" customHeight="1" x14ac:dyDescent="0.25">
      <c r="B31" s="272" t="s">
        <v>75</v>
      </c>
      <c r="C31" s="273">
        <v>1</v>
      </c>
      <c r="D31" s="385">
        <f t="shared" si="5"/>
        <v>0</v>
      </c>
      <c r="E31" s="385">
        <f t="shared" si="6"/>
        <v>0</v>
      </c>
    </row>
    <row r="32" spans="1:10" ht="15" customHeight="1" x14ac:dyDescent="0.25">
      <c r="B32" s="272" t="s">
        <v>74</v>
      </c>
      <c r="C32" s="273">
        <v>8</v>
      </c>
      <c r="D32" s="385">
        <f t="shared" si="5"/>
        <v>14719.923151311616</v>
      </c>
      <c r="E32" s="385">
        <f t="shared" si="6"/>
        <v>56872.061359415718</v>
      </c>
    </row>
    <row r="33" spans="1:14" ht="15" customHeight="1" x14ac:dyDescent="0.25">
      <c r="B33" s="272" t="s">
        <v>77</v>
      </c>
      <c r="C33" s="273">
        <v>1</v>
      </c>
      <c r="D33" s="385">
        <f t="shared" si="5"/>
        <v>0</v>
      </c>
      <c r="E33" s="385">
        <f t="shared" si="6"/>
        <v>0</v>
      </c>
    </row>
    <row r="34" spans="1:14" ht="15" customHeight="1" x14ac:dyDescent="0.25">
      <c r="B34" s="272" t="s">
        <v>76</v>
      </c>
      <c r="C34" s="273">
        <v>14</v>
      </c>
      <c r="D34" s="385">
        <f t="shared" si="5"/>
        <v>19085.617944317779</v>
      </c>
      <c r="E34" s="385">
        <f t="shared" si="6"/>
        <v>116453.84174751812</v>
      </c>
    </row>
    <row r="35" spans="1:14" ht="15" customHeight="1" x14ac:dyDescent="0.25">
      <c r="B35" s="272" t="s">
        <v>79</v>
      </c>
      <c r="C35" s="273">
        <v>1</v>
      </c>
      <c r="D35" s="385">
        <f t="shared" si="5"/>
        <v>0</v>
      </c>
      <c r="E35" s="385">
        <f t="shared" si="6"/>
        <v>0</v>
      </c>
    </row>
    <row r="36" spans="1:14" ht="15" customHeight="1" x14ac:dyDescent="0.25">
      <c r="B36" s="272" t="s">
        <v>78</v>
      </c>
      <c r="C36" s="273">
        <v>20</v>
      </c>
      <c r="D36" s="385">
        <f t="shared" si="5"/>
        <v>20644.109410039164</v>
      </c>
      <c r="E36" s="385">
        <f t="shared" si="6"/>
        <v>199831.23102781852</v>
      </c>
    </row>
    <row r="37" spans="1:14" ht="15" customHeight="1" x14ac:dyDescent="0.25">
      <c r="B37" s="272" t="s">
        <v>81</v>
      </c>
      <c r="C37" s="273">
        <v>1</v>
      </c>
      <c r="D37" s="385">
        <f t="shared" si="5"/>
        <v>0</v>
      </c>
      <c r="E37" s="385">
        <f t="shared" si="6"/>
        <v>0</v>
      </c>
    </row>
    <row r="38" spans="1:14" ht="15" customHeight="1" x14ac:dyDescent="0.25">
      <c r="B38" s="272" t="s">
        <v>80</v>
      </c>
      <c r="C38" s="273">
        <v>26</v>
      </c>
      <c r="D38" s="385">
        <f t="shared" si="5"/>
        <v>19321.543917798877</v>
      </c>
      <c r="E38" s="385">
        <f t="shared" si="6"/>
        <v>202609.25572819699</v>
      </c>
    </row>
    <row r="39" spans="1:14" s="75" customFormat="1" ht="15" customHeight="1" x14ac:dyDescent="0.25">
      <c r="A39" s="146"/>
      <c r="B39" s="272" t="s">
        <v>83</v>
      </c>
      <c r="C39" s="273">
        <v>1</v>
      </c>
      <c r="D39" s="385">
        <f t="shared" si="5"/>
        <v>0</v>
      </c>
      <c r="E39" s="385">
        <f t="shared" si="6"/>
        <v>0</v>
      </c>
      <c r="F39" s="146"/>
      <c r="G39" s="146"/>
      <c r="H39" s="146"/>
      <c r="I39" s="146"/>
    </row>
    <row r="40" spans="1:14" ht="15" customHeight="1" x14ac:dyDescent="0.25">
      <c r="B40" s="277" t="s">
        <v>82</v>
      </c>
      <c r="C40" s="278">
        <v>200</v>
      </c>
      <c r="D40" s="386">
        <f t="shared" si="5"/>
        <v>18541.118890387639</v>
      </c>
      <c r="E40" s="386">
        <f>((G17))*$D$23</f>
        <v>832092.37261629128</v>
      </c>
      <c r="K40" s="116"/>
      <c r="L40" s="110"/>
      <c r="M40" s="38"/>
      <c r="N40" s="38"/>
    </row>
    <row r="41" spans="1:14" ht="15" customHeight="1" x14ac:dyDescent="0.25">
      <c r="E41" s="234"/>
      <c r="K41" s="116"/>
      <c r="L41" s="110"/>
      <c r="M41" s="38"/>
      <c r="N41" s="38"/>
    </row>
    <row r="42" spans="1:14" ht="15" customHeight="1" x14ac:dyDescent="0.25">
      <c r="K42" s="116"/>
      <c r="L42" s="110"/>
      <c r="M42" s="38"/>
      <c r="N42" s="38"/>
    </row>
    <row r="43" spans="1:14" ht="15" customHeight="1" x14ac:dyDescent="0.25">
      <c r="K43" s="116"/>
      <c r="L43" s="110"/>
      <c r="M43" s="38"/>
      <c r="N43" s="38"/>
    </row>
    <row r="44" spans="1:14" ht="15" customHeight="1" x14ac:dyDescent="0.25">
      <c r="K44" s="116"/>
      <c r="L44" s="110"/>
      <c r="M44" s="38"/>
      <c r="N44" s="38"/>
    </row>
    <row r="45" spans="1:14" ht="15" customHeight="1" x14ac:dyDescent="0.25">
      <c r="K45" s="116"/>
      <c r="L45" s="110"/>
      <c r="M45" s="38"/>
      <c r="N45" s="38"/>
    </row>
    <row r="46" spans="1:14" ht="15" customHeight="1" x14ac:dyDescent="0.25">
      <c r="K46" s="116"/>
      <c r="L46" s="110"/>
      <c r="M46" s="38"/>
      <c r="N46" s="38"/>
    </row>
    <row r="47" spans="1:14" ht="15" customHeight="1" x14ac:dyDescent="0.25">
      <c r="K47" s="116"/>
      <c r="L47" s="110"/>
      <c r="M47" s="38"/>
      <c r="N47" s="38"/>
    </row>
    <row r="48" spans="1:14" ht="15" customHeight="1" x14ac:dyDescent="0.25">
      <c r="K48" s="116"/>
      <c r="L48" s="110"/>
      <c r="M48" s="38"/>
      <c r="N48" s="38"/>
    </row>
    <row r="49" spans="11:14" ht="15" customHeight="1" x14ac:dyDescent="0.25">
      <c r="K49" s="116"/>
      <c r="L49" s="110"/>
      <c r="M49" s="38"/>
      <c r="N49" s="38"/>
    </row>
    <row r="50" spans="11:14" ht="15" customHeight="1" x14ac:dyDescent="0.25">
      <c r="K50" s="116"/>
      <c r="L50" s="110"/>
      <c r="M50" s="38"/>
      <c r="N50" s="38"/>
    </row>
    <row r="51" spans="11:14" ht="15" customHeight="1" x14ac:dyDescent="0.25">
      <c r="K51" s="116"/>
      <c r="L51" s="110"/>
      <c r="M51" s="38"/>
      <c r="N51" s="38"/>
    </row>
    <row r="52" spans="11:14" ht="15" customHeight="1" x14ac:dyDescent="0.25">
      <c r="K52" s="116"/>
      <c r="L52" s="110"/>
      <c r="M52" s="38"/>
      <c r="N52" s="38"/>
    </row>
    <row r="53" spans="11:14" ht="15" customHeight="1" x14ac:dyDescent="0.25">
      <c r="K53" s="116"/>
      <c r="L53" s="110"/>
      <c r="M53" s="38"/>
      <c r="N53" s="38"/>
    </row>
    <row r="54" spans="11:14" ht="15" customHeight="1" x14ac:dyDescent="0.25">
      <c r="K54" s="116"/>
      <c r="L54" s="110"/>
      <c r="M54" s="38"/>
      <c r="N54" s="38"/>
    </row>
    <row r="55" spans="11:14" ht="15" customHeight="1" x14ac:dyDescent="0.25">
      <c r="K55" s="116"/>
      <c r="L55" s="110"/>
      <c r="M55" s="38"/>
      <c r="N55" s="38"/>
    </row>
    <row r="56" spans="11:14" ht="15" customHeight="1" x14ac:dyDescent="0.25">
      <c r="K56" s="116"/>
      <c r="L56" s="110"/>
      <c r="M56" s="110"/>
      <c r="N56" s="110"/>
    </row>
    <row r="57" spans="11:14" ht="15" customHeight="1" x14ac:dyDescent="0.25">
      <c r="K57" s="116"/>
      <c r="L57" s="110"/>
      <c r="M57" s="38"/>
      <c r="N57" s="38"/>
    </row>
    <row r="58" spans="11:14" ht="15" customHeight="1" x14ac:dyDescent="0.25">
      <c r="K58" s="116"/>
      <c r="L58" s="110"/>
      <c r="M58" s="38"/>
      <c r="N58" s="38"/>
    </row>
    <row r="59" spans="11:14" ht="15" customHeight="1" x14ac:dyDescent="0.25">
      <c r="K59" s="116"/>
      <c r="L59" s="110"/>
      <c r="M59" s="38"/>
      <c r="N59" s="38"/>
    </row>
    <row r="60" spans="11:14" ht="15" customHeight="1" x14ac:dyDescent="0.25">
      <c r="K60" s="116"/>
      <c r="L60" s="110"/>
      <c r="M60" s="38"/>
      <c r="N60" s="38"/>
    </row>
    <row r="61" spans="11:14" ht="15" customHeight="1" x14ac:dyDescent="0.25">
      <c r="K61" s="116"/>
      <c r="L61" s="110"/>
      <c r="M61" s="38"/>
      <c r="N61" s="38"/>
    </row>
    <row r="62" spans="11:14" ht="15" customHeight="1" x14ac:dyDescent="0.25">
      <c r="K62" s="116"/>
      <c r="L62" s="110"/>
      <c r="M62" s="38"/>
      <c r="N62" s="38"/>
    </row>
    <row r="63" spans="11:14" ht="15" customHeight="1" x14ac:dyDescent="0.25">
      <c r="K63" s="116"/>
      <c r="L63" s="110"/>
      <c r="M63" s="38"/>
      <c r="N63" s="38"/>
    </row>
    <row r="64" spans="11:14" ht="15" customHeight="1" x14ac:dyDescent="0.25">
      <c r="K64" s="116"/>
      <c r="L64" s="110"/>
      <c r="M64" s="38"/>
      <c r="N64" s="38"/>
    </row>
    <row r="65" spans="11:14" ht="15" customHeight="1" x14ac:dyDescent="0.25">
      <c r="K65" s="116"/>
      <c r="L65" s="110"/>
      <c r="M65" s="38"/>
      <c r="N65" s="38"/>
    </row>
    <row r="66" spans="11:14" ht="15" customHeight="1" x14ac:dyDescent="0.25">
      <c r="K66" s="116"/>
      <c r="L66" s="110"/>
      <c r="M66" s="38"/>
      <c r="N66" s="38"/>
    </row>
    <row r="67" spans="11:14" ht="15" customHeight="1" x14ac:dyDescent="0.25">
      <c r="K67" s="116"/>
      <c r="L67" s="110"/>
      <c r="M67" s="38"/>
      <c r="N67" s="38"/>
    </row>
    <row r="68" spans="11:14" ht="15" customHeight="1" x14ac:dyDescent="0.25">
      <c r="K68" s="116"/>
      <c r="L68" s="110"/>
      <c r="M68" s="38"/>
      <c r="N68" s="38"/>
    </row>
    <row r="69" spans="11:14" ht="15" customHeight="1" x14ac:dyDescent="0.25">
      <c r="K69" s="116"/>
      <c r="L69" s="110"/>
      <c r="M69" s="38"/>
      <c r="N69" s="38"/>
    </row>
    <row r="70" spans="11:14" ht="15" customHeight="1" x14ac:dyDescent="0.25">
      <c r="K70" s="116"/>
      <c r="L70" s="110"/>
      <c r="M70" s="38"/>
      <c r="N70" s="38"/>
    </row>
    <row r="71" spans="11:14" ht="15" customHeight="1" x14ac:dyDescent="0.25">
      <c r="K71" s="116"/>
      <c r="L71" s="110"/>
      <c r="M71" s="38"/>
      <c r="N71" s="38"/>
    </row>
    <row r="72" spans="11:14" ht="15" customHeight="1" x14ac:dyDescent="0.25">
      <c r="K72" s="116"/>
      <c r="L72" s="110"/>
      <c r="M72" s="38"/>
      <c r="N72" s="38"/>
    </row>
    <row r="73" spans="11:14" ht="15" customHeight="1" x14ac:dyDescent="0.25">
      <c r="K73" s="116"/>
      <c r="L73" s="110"/>
      <c r="M73" s="38"/>
      <c r="N73" s="38"/>
    </row>
    <row r="74" spans="11:14" ht="15" customHeight="1" x14ac:dyDescent="0.25">
      <c r="K74" s="116"/>
      <c r="L74" s="110"/>
      <c r="M74" s="38"/>
      <c r="N74" s="38"/>
    </row>
    <row r="75" spans="11:14" ht="15" customHeight="1" x14ac:dyDescent="0.25">
      <c r="K75" s="116"/>
      <c r="L75" s="110"/>
      <c r="M75" s="38"/>
      <c r="N75" s="38"/>
    </row>
    <row r="76" spans="11:14" ht="15" customHeight="1" x14ac:dyDescent="0.25">
      <c r="K76" s="116"/>
      <c r="L76" s="110"/>
      <c r="M76" s="38"/>
      <c r="N76" s="38"/>
    </row>
    <row r="77" spans="11:14" ht="15" customHeight="1" x14ac:dyDescent="0.25">
      <c r="K77" s="116"/>
      <c r="L77" s="110"/>
      <c r="M77" s="38"/>
      <c r="N77" s="38"/>
    </row>
    <row r="78" spans="11:14" ht="15" customHeight="1" x14ac:dyDescent="0.25">
      <c r="K78" s="116"/>
      <c r="L78" s="110"/>
      <c r="M78" s="38"/>
      <c r="N78" s="38"/>
    </row>
    <row r="79" spans="11:14" ht="15" customHeight="1" x14ac:dyDescent="0.25">
      <c r="K79" s="116"/>
      <c r="L79" s="110"/>
      <c r="M79" s="38"/>
      <c r="N79" s="38"/>
    </row>
    <row r="80" spans="11:14" ht="15" customHeight="1" x14ac:dyDescent="0.25">
      <c r="K80" s="116"/>
      <c r="L80" s="110"/>
      <c r="M80" s="38"/>
      <c r="N80" s="38"/>
    </row>
    <row r="81" spans="11:14" ht="15" customHeight="1" x14ac:dyDescent="0.25">
      <c r="K81" s="116"/>
      <c r="L81" s="110"/>
      <c r="M81" s="38"/>
      <c r="N81" s="38"/>
    </row>
    <row r="82" spans="11:14" ht="15" customHeight="1" x14ac:dyDescent="0.25">
      <c r="K82" s="116"/>
      <c r="L82" s="110"/>
      <c r="M82" s="38"/>
      <c r="N82" s="38"/>
    </row>
    <row r="83" spans="11:14" ht="15" customHeight="1" x14ac:dyDescent="0.25">
      <c r="K83" s="116"/>
      <c r="L83" s="110"/>
      <c r="M83" s="38"/>
      <c r="N83" s="38"/>
    </row>
    <row r="84" spans="11:14" ht="15" customHeight="1" x14ac:dyDescent="0.25">
      <c r="K84" s="116"/>
      <c r="L84" s="110"/>
      <c r="M84" s="38"/>
      <c r="N84" s="38"/>
    </row>
    <row r="85" spans="11:14" ht="15" customHeight="1" x14ac:dyDescent="0.25">
      <c r="K85" s="116"/>
      <c r="L85" s="110"/>
      <c r="M85" s="38"/>
      <c r="N85" s="38"/>
    </row>
    <row r="86" spans="11:14" ht="15" customHeight="1" x14ac:dyDescent="0.25">
      <c r="K86" s="116"/>
      <c r="L86" s="110"/>
      <c r="M86" s="38"/>
      <c r="N86" s="38"/>
    </row>
    <row r="87" spans="11:14" ht="15" customHeight="1" x14ac:dyDescent="0.25">
      <c r="K87" s="116"/>
      <c r="L87" s="110"/>
      <c r="M87" s="38"/>
      <c r="N87" s="38"/>
    </row>
    <row r="88" spans="11:14" ht="15" customHeight="1" x14ac:dyDescent="0.25">
      <c r="K88" s="116"/>
      <c r="L88" s="110"/>
      <c r="M88" s="38"/>
      <c r="N88" s="38"/>
    </row>
    <row r="89" spans="11:14" ht="15" customHeight="1" x14ac:dyDescent="0.25">
      <c r="K89" s="116"/>
      <c r="L89" s="110"/>
      <c r="M89" s="38"/>
      <c r="N89" s="38"/>
    </row>
    <row r="90" spans="11:14" ht="15" customHeight="1" x14ac:dyDescent="0.25">
      <c r="K90" s="116"/>
      <c r="L90" s="110"/>
      <c r="M90" s="38"/>
      <c r="N90" s="38"/>
    </row>
    <row r="91" spans="11:14" ht="15" customHeight="1" x14ac:dyDescent="0.25">
      <c r="K91" s="116"/>
      <c r="L91" s="110"/>
      <c r="M91" s="38"/>
      <c r="N91" s="38"/>
    </row>
    <row r="92" spans="11:14" ht="15" customHeight="1" x14ac:dyDescent="0.25">
      <c r="K92" s="116"/>
      <c r="L92" s="110"/>
      <c r="M92" s="38"/>
      <c r="N92" s="38"/>
    </row>
    <row r="93" spans="11:14" ht="15" customHeight="1" x14ac:dyDescent="0.25">
      <c r="K93" s="116"/>
      <c r="L93" s="110"/>
      <c r="M93" s="38"/>
      <c r="N93" s="38"/>
    </row>
    <row r="94" spans="11:14" ht="15" customHeight="1" x14ac:dyDescent="0.25">
      <c r="K94" s="116"/>
      <c r="L94" s="110"/>
      <c r="M94" s="38"/>
      <c r="N94" s="38"/>
    </row>
    <row r="95" spans="11:14" ht="15" customHeight="1" x14ac:dyDescent="0.25">
      <c r="K95" s="116"/>
      <c r="L95" s="110"/>
      <c r="M95" s="38"/>
      <c r="N95" s="38"/>
    </row>
    <row r="96" spans="11:14" ht="15" customHeight="1" x14ac:dyDescent="0.25">
      <c r="K96" s="116"/>
      <c r="L96" s="110"/>
      <c r="M96" s="38"/>
      <c r="N96" s="38"/>
    </row>
    <row r="97" spans="11:14" ht="15" customHeight="1" x14ac:dyDescent="0.25">
      <c r="K97" s="116"/>
      <c r="L97" s="110"/>
      <c r="M97" s="38"/>
      <c r="N97" s="38"/>
    </row>
    <row r="98" spans="11:14" ht="15" customHeight="1" x14ac:dyDescent="0.25">
      <c r="K98" s="116"/>
      <c r="L98" s="110"/>
      <c r="M98" s="38"/>
      <c r="N98" s="38"/>
    </row>
    <row r="99" spans="11:14" ht="15" customHeight="1" x14ac:dyDescent="0.25">
      <c r="K99" s="116"/>
      <c r="L99" s="110"/>
      <c r="M99" s="38"/>
      <c r="N99" s="38"/>
    </row>
    <row r="100" spans="11:14" ht="15" customHeight="1" x14ac:dyDescent="0.25">
      <c r="K100" s="116"/>
      <c r="L100" s="110"/>
      <c r="M100" s="38"/>
      <c r="N100" s="38"/>
    </row>
    <row r="101" spans="11:14" ht="15" customHeight="1" x14ac:dyDescent="0.25">
      <c r="K101" s="116"/>
      <c r="L101" s="110"/>
      <c r="M101" s="38"/>
      <c r="N101" s="38"/>
    </row>
    <row r="102" spans="11:14" ht="15" customHeight="1" x14ac:dyDescent="0.25">
      <c r="K102" s="116"/>
      <c r="L102" s="110"/>
      <c r="M102" s="38"/>
      <c r="N102" s="38"/>
    </row>
    <row r="103" spans="11:14" ht="15" customHeight="1" x14ac:dyDescent="0.25">
      <c r="K103" s="116"/>
      <c r="L103" s="110"/>
      <c r="M103" s="38"/>
      <c r="N103" s="38"/>
    </row>
    <row r="104" spans="11:14" ht="15" customHeight="1" x14ac:dyDescent="0.25">
      <c r="K104" s="116"/>
      <c r="L104" s="110"/>
      <c r="M104" s="38"/>
      <c r="N104" s="38"/>
    </row>
    <row r="105" spans="11:14" ht="15" customHeight="1" x14ac:dyDescent="0.25">
      <c r="K105" s="116"/>
      <c r="L105" s="110"/>
      <c r="M105" s="38"/>
      <c r="N105" s="38"/>
    </row>
    <row r="106" spans="11:14" ht="15" customHeight="1" x14ac:dyDescent="0.25">
      <c r="K106" s="116"/>
      <c r="L106" s="110"/>
      <c r="M106" s="38"/>
      <c r="N106" s="38"/>
    </row>
    <row r="107" spans="11:14" ht="15" customHeight="1" x14ac:dyDescent="0.25">
      <c r="K107" s="116"/>
      <c r="L107" s="110"/>
      <c r="M107" s="38"/>
      <c r="N107" s="38"/>
    </row>
    <row r="108" spans="11:14" ht="15" customHeight="1" x14ac:dyDescent="0.25">
      <c r="K108" s="116"/>
      <c r="L108" s="110"/>
      <c r="M108" s="38"/>
      <c r="N108" s="38"/>
    </row>
    <row r="109" spans="11:14" ht="15" customHeight="1" x14ac:dyDescent="0.25">
      <c r="K109" s="116"/>
      <c r="L109" s="110"/>
      <c r="M109" s="38"/>
      <c r="N109" s="38"/>
    </row>
    <row r="110" spans="11:14" ht="15" customHeight="1" x14ac:dyDescent="0.25">
      <c r="K110" s="116"/>
      <c r="L110" s="110"/>
      <c r="M110" s="38"/>
      <c r="N110" s="38"/>
    </row>
    <row r="111" spans="11:14" ht="15" customHeight="1" x14ac:dyDescent="0.25">
      <c r="K111" s="116"/>
      <c r="L111" s="110"/>
      <c r="M111" s="38"/>
      <c r="N111" s="38"/>
    </row>
    <row r="112" spans="11:14" ht="15" customHeight="1" x14ac:dyDescent="0.25">
      <c r="K112" s="116"/>
      <c r="L112" s="110"/>
      <c r="M112" s="38"/>
      <c r="N112" s="38"/>
    </row>
    <row r="113" spans="11:14" ht="15" customHeight="1" x14ac:dyDescent="0.25">
      <c r="K113" s="116"/>
      <c r="L113" s="110"/>
      <c r="M113" s="38"/>
      <c r="N113" s="38"/>
    </row>
    <row r="114" spans="11:14" ht="15" customHeight="1" x14ac:dyDescent="0.25">
      <c r="K114" s="116"/>
      <c r="L114" s="110"/>
      <c r="M114" s="38"/>
      <c r="N114" s="38"/>
    </row>
    <row r="115" spans="11:14" ht="15" customHeight="1" x14ac:dyDescent="0.25">
      <c r="K115" s="116"/>
      <c r="L115" s="110"/>
      <c r="M115" s="38"/>
      <c r="N115" s="38"/>
    </row>
    <row r="116" spans="11:14" ht="15" customHeight="1" x14ac:dyDescent="0.25">
      <c r="K116" s="116"/>
      <c r="L116" s="110"/>
      <c r="M116" s="38"/>
      <c r="N116" s="38"/>
    </row>
    <row r="117" spans="11:14" ht="15" customHeight="1" x14ac:dyDescent="0.25">
      <c r="K117" s="116"/>
      <c r="L117" s="110"/>
      <c r="M117" s="38"/>
      <c r="N117" s="38"/>
    </row>
    <row r="118" spans="11:14" ht="15" customHeight="1" x14ac:dyDescent="0.25">
      <c r="K118" s="116"/>
      <c r="L118" s="110"/>
      <c r="M118" s="38"/>
      <c r="N118" s="38"/>
    </row>
    <row r="119" spans="11:14" ht="15" customHeight="1" x14ac:dyDescent="0.25">
      <c r="K119" s="116"/>
      <c r="L119" s="110"/>
      <c r="M119" s="38"/>
      <c r="N119" s="38"/>
    </row>
    <row r="120" spans="11:14" ht="15" customHeight="1" x14ac:dyDescent="0.25">
      <c r="K120" s="116"/>
      <c r="L120" s="110"/>
      <c r="M120" s="38"/>
      <c r="N120" s="38"/>
    </row>
    <row r="121" spans="11:14" ht="15" customHeight="1" x14ac:dyDescent="0.25">
      <c r="K121" s="116"/>
      <c r="L121" s="110"/>
      <c r="M121" s="38"/>
      <c r="N121" s="38"/>
    </row>
    <row r="122" spans="11:14" ht="15" customHeight="1" x14ac:dyDescent="0.25">
      <c r="K122" s="116"/>
      <c r="L122" s="110"/>
      <c r="M122" s="38"/>
      <c r="N122" s="38"/>
    </row>
    <row r="123" spans="11:14" ht="15" customHeight="1" x14ac:dyDescent="0.25">
      <c r="K123" s="116"/>
      <c r="L123" s="110"/>
      <c r="M123" s="38"/>
      <c r="N123" s="38"/>
    </row>
    <row r="124" spans="11:14" ht="15" customHeight="1" x14ac:dyDescent="0.25">
      <c r="K124" s="116"/>
      <c r="L124" s="110"/>
      <c r="M124" s="38"/>
      <c r="N124" s="38"/>
    </row>
    <row r="125" spans="11:14" ht="15" customHeight="1" x14ac:dyDescent="0.25">
      <c r="K125" s="116"/>
      <c r="L125" s="110"/>
      <c r="M125" s="38"/>
      <c r="N125" s="38"/>
    </row>
    <row r="126" spans="11:14" ht="15" customHeight="1" x14ac:dyDescent="0.25">
      <c r="K126" s="116"/>
      <c r="L126" s="110"/>
      <c r="M126" s="38"/>
      <c r="N126" s="38"/>
    </row>
    <row r="127" spans="11:14" ht="15" customHeight="1" x14ac:dyDescent="0.25">
      <c r="K127" s="116"/>
      <c r="L127" s="110"/>
      <c r="M127" s="38"/>
      <c r="N127" s="38"/>
    </row>
    <row r="128" spans="11:14" ht="15" customHeight="1" x14ac:dyDescent="0.25">
      <c r="K128" s="116"/>
      <c r="L128" s="110"/>
      <c r="M128" s="38"/>
      <c r="N128" s="38"/>
    </row>
    <row r="129" spans="11:14" ht="15" customHeight="1" x14ac:dyDescent="0.25">
      <c r="K129" s="116"/>
      <c r="L129" s="110"/>
      <c r="M129" s="38"/>
      <c r="N129" s="38"/>
    </row>
    <row r="130" spans="11:14" ht="15" customHeight="1" x14ac:dyDescent="0.25">
      <c r="K130" s="116"/>
      <c r="L130" s="110"/>
      <c r="M130" s="38"/>
      <c r="N130" s="38"/>
    </row>
    <row r="131" spans="11:14" ht="15" customHeight="1" x14ac:dyDescent="0.25">
      <c r="K131" s="116"/>
      <c r="L131" s="110"/>
      <c r="M131" s="38"/>
      <c r="N131" s="38"/>
    </row>
    <row r="132" spans="11:14" ht="15" customHeight="1" x14ac:dyDescent="0.25">
      <c r="K132" s="116"/>
      <c r="L132" s="110"/>
      <c r="M132" s="38"/>
      <c r="N132" s="38"/>
    </row>
    <row r="133" spans="11:14" ht="15" customHeight="1" x14ac:dyDescent="0.25">
      <c r="K133" s="116"/>
      <c r="L133" s="110"/>
      <c r="M133" s="38"/>
      <c r="N133" s="38"/>
    </row>
    <row r="134" spans="11:14" ht="15" customHeight="1" x14ac:dyDescent="0.25">
      <c r="K134" s="116"/>
      <c r="L134" s="110"/>
      <c r="M134" s="38"/>
      <c r="N134" s="38"/>
    </row>
    <row r="135" spans="11:14" ht="15" customHeight="1" x14ac:dyDescent="0.25">
      <c r="K135" s="116"/>
      <c r="L135" s="110"/>
      <c r="M135" s="38"/>
      <c r="N135" s="38"/>
    </row>
    <row r="136" spans="11:14" ht="15" customHeight="1" x14ac:dyDescent="0.25">
      <c r="K136" s="116"/>
      <c r="L136" s="110"/>
      <c r="M136" s="38"/>
      <c r="N136" s="38"/>
    </row>
    <row r="137" spans="11:14" ht="15" customHeight="1" x14ac:dyDescent="0.25">
      <c r="K137" s="116"/>
      <c r="L137" s="110"/>
      <c r="M137" s="38"/>
      <c r="N137" s="38"/>
    </row>
    <row r="138" spans="11:14" ht="15" customHeight="1" x14ac:dyDescent="0.25">
      <c r="K138" s="116"/>
      <c r="L138" s="110"/>
      <c r="M138" s="38"/>
      <c r="N138" s="38"/>
    </row>
    <row r="139" spans="11:14" ht="15" customHeight="1" x14ac:dyDescent="0.25">
      <c r="K139" s="116"/>
      <c r="L139" s="110"/>
      <c r="M139" s="38"/>
      <c r="N139" s="38"/>
    </row>
    <row r="140" spans="11:14" ht="15" customHeight="1" x14ac:dyDescent="0.25">
      <c r="K140" s="116"/>
      <c r="L140" s="110"/>
      <c r="M140" s="38"/>
      <c r="N140" s="38"/>
    </row>
    <row r="141" spans="11:14" ht="15" customHeight="1" x14ac:dyDescent="0.25">
      <c r="K141" s="116"/>
      <c r="L141" s="110"/>
      <c r="M141" s="38"/>
      <c r="N141" s="38"/>
    </row>
    <row r="142" spans="11:14" ht="15" customHeight="1" x14ac:dyDescent="0.25">
      <c r="K142" s="116"/>
      <c r="L142" s="110"/>
      <c r="M142" s="38"/>
      <c r="N142" s="38"/>
    </row>
    <row r="143" spans="11:14" ht="15" customHeight="1" x14ac:dyDescent="0.25">
      <c r="K143" s="116"/>
      <c r="L143" s="110"/>
      <c r="M143" s="38"/>
      <c r="N143" s="38"/>
    </row>
    <row r="144" spans="11:14" ht="15" customHeight="1" x14ac:dyDescent="0.25">
      <c r="K144" s="116"/>
      <c r="L144" s="110"/>
      <c r="M144" s="38"/>
      <c r="N144" s="38"/>
    </row>
    <row r="145" spans="11:14" ht="15" customHeight="1" x14ac:dyDescent="0.25">
      <c r="K145" s="116"/>
      <c r="L145" s="110"/>
      <c r="M145" s="38"/>
      <c r="N145" s="38"/>
    </row>
    <row r="146" spans="11:14" ht="15" customHeight="1" x14ac:dyDescent="0.25">
      <c r="K146" s="116"/>
      <c r="L146" s="110"/>
      <c r="M146" s="38"/>
      <c r="N146" s="38"/>
    </row>
    <row r="147" spans="11:14" ht="15" customHeight="1" x14ac:dyDescent="0.25">
      <c r="K147" s="116"/>
      <c r="L147" s="110"/>
      <c r="M147" s="38"/>
      <c r="N147" s="38"/>
    </row>
    <row r="148" spans="11:14" ht="15" customHeight="1" x14ac:dyDescent="0.25">
      <c r="K148" s="116"/>
      <c r="L148" s="110"/>
      <c r="M148" s="38"/>
      <c r="N148" s="38"/>
    </row>
    <row r="149" spans="11:14" ht="15" customHeight="1" x14ac:dyDescent="0.25">
      <c r="K149" s="116"/>
      <c r="L149" s="110"/>
      <c r="M149" s="38"/>
      <c r="N149" s="38"/>
    </row>
    <row r="150" spans="11:14" ht="15" customHeight="1" x14ac:dyDescent="0.25">
      <c r="K150" s="116"/>
      <c r="L150" s="110"/>
      <c r="M150" s="38"/>
      <c r="N150" s="38"/>
    </row>
    <row r="151" spans="11:14" ht="15" customHeight="1" x14ac:dyDescent="0.25">
      <c r="K151" s="116"/>
      <c r="L151" s="110"/>
      <c r="M151" s="38"/>
      <c r="N151" s="38"/>
    </row>
    <row r="152" spans="11:14" ht="15" customHeight="1" x14ac:dyDescent="0.25">
      <c r="K152" s="116"/>
      <c r="L152" s="110"/>
      <c r="M152" s="38"/>
      <c r="N152" s="38"/>
    </row>
    <row r="153" spans="11:14" ht="15" customHeight="1" x14ac:dyDescent="0.25">
      <c r="K153" s="116"/>
      <c r="L153" s="110"/>
      <c r="M153" s="38"/>
      <c r="N153" s="38"/>
    </row>
    <row r="154" spans="11:14" ht="15" customHeight="1" x14ac:dyDescent="0.25">
      <c r="K154" s="116"/>
      <c r="L154" s="110"/>
      <c r="M154" s="38"/>
      <c r="N154" s="38"/>
    </row>
    <row r="155" spans="11:14" ht="15" customHeight="1" x14ac:dyDescent="0.25">
      <c r="K155" s="116"/>
      <c r="L155" s="110"/>
      <c r="M155" s="38"/>
      <c r="N155" s="38"/>
    </row>
    <row r="156" spans="11:14" ht="15" customHeight="1" x14ac:dyDescent="0.25">
      <c r="K156" s="116"/>
      <c r="L156" s="110"/>
      <c r="M156" s="38"/>
      <c r="N156" s="38"/>
    </row>
    <row r="157" spans="11:14" ht="15" customHeight="1" x14ac:dyDescent="0.25">
      <c r="K157" s="116"/>
      <c r="L157" s="110"/>
      <c r="M157" s="38"/>
      <c r="N157" s="38"/>
    </row>
    <row r="158" spans="11:14" ht="15" customHeight="1" x14ac:dyDescent="0.25">
      <c r="K158" s="116"/>
      <c r="L158" s="110"/>
      <c r="M158" s="38"/>
      <c r="N158" s="38"/>
    </row>
    <row r="159" spans="11:14" ht="15" customHeight="1" x14ac:dyDescent="0.25">
      <c r="K159" s="116"/>
      <c r="L159" s="110"/>
      <c r="M159" s="38"/>
      <c r="N159" s="38"/>
    </row>
    <row r="160" spans="11:14" ht="15" customHeight="1" x14ac:dyDescent="0.25">
      <c r="K160" s="116"/>
      <c r="L160" s="110"/>
      <c r="M160" s="38"/>
      <c r="N160" s="38"/>
    </row>
    <row r="161" spans="11:14" ht="15" customHeight="1" x14ac:dyDescent="0.25">
      <c r="K161" s="116"/>
      <c r="L161" s="110"/>
      <c r="M161" s="38"/>
      <c r="N161" s="38"/>
    </row>
    <row r="162" spans="11:14" ht="15" customHeight="1" x14ac:dyDescent="0.25">
      <c r="K162" s="116"/>
      <c r="L162" s="110"/>
      <c r="M162" s="38"/>
      <c r="N162" s="38"/>
    </row>
    <row r="163" spans="11:14" ht="15" customHeight="1" x14ac:dyDescent="0.25">
      <c r="K163" s="116"/>
      <c r="L163" s="110"/>
      <c r="M163" s="38"/>
      <c r="N163" s="38"/>
    </row>
    <row r="164" spans="11:14" ht="15" customHeight="1" x14ac:dyDescent="0.25">
      <c r="K164" s="116"/>
      <c r="L164" s="110"/>
      <c r="M164" s="38"/>
      <c r="N164" s="38"/>
    </row>
    <row r="165" spans="11:14" ht="15" customHeight="1" x14ac:dyDescent="0.25">
      <c r="K165" s="116"/>
      <c r="L165" s="110"/>
      <c r="M165" s="38"/>
      <c r="N165" s="38"/>
    </row>
    <row r="166" spans="11:14" ht="15" customHeight="1" x14ac:dyDescent="0.25">
      <c r="K166" s="116"/>
      <c r="L166" s="110"/>
      <c r="M166" s="38"/>
      <c r="N166" s="38"/>
    </row>
    <row r="167" spans="11:14" ht="15" customHeight="1" x14ac:dyDescent="0.25">
      <c r="K167" s="116"/>
      <c r="L167" s="110"/>
      <c r="M167" s="38"/>
      <c r="N167" s="38"/>
    </row>
    <row r="168" spans="11:14" ht="15" customHeight="1" x14ac:dyDescent="0.25">
      <c r="K168" s="116"/>
      <c r="L168" s="110"/>
      <c r="M168" s="38"/>
      <c r="N168" s="38"/>
    </row>
    <row r="169" spans="11:14" ht="15" customHeight="1" x14ac:dyDescent="0.25">
      <c r="K169" s="116"/>
      <c r="L169" s="110"/>
      <c r="M169" s="38"/>
      <c r="N169" s="38"/>
    </row>
    <row r="170" spans="11:14" ht="15" customHeight="1" x14ac:dyDescent="0.25">
      <c r="K170" s="116"/>
      <c r="L170" s="110"/>
      <c r="M170" s="38"/>
      <c r="N170" s="38"/>
    </row>
    <row r="171" spans="11:14" ht="15" customHeight="1" x14ac:dyDescent="0.25">
      <c r="K171" s="116"/>
      <c r="L171" s="110"/>
      <c r="M171" s="38"/>
      <c r="N171" s="38"/>
    </row>
    <row r="172" spans="11:14" ht="15" customHeight="1" x14ac:dyDescent="0.25">
      <c r="K172" s="116"/>
      <c r="L172" s="110"/>
      <c r="M172" s="38"/>
      <c r="N172" s="38"/>
    </row>
    <row r="173" spans="11:14" ht="15" customHeight="1" x14ac:dyDescent="0.25">
      <c r="K173" s="116"/>
      <c r="L173" s="110"/>
      <c r="M173" s="38"/>
      <c r="N173" s="38"/>
    </row>
    <row r="174" spans="11:14" ht="15" customHeight="1" x14ac:dyDescent="0.25">
      <c r="K174" s="116"/>
      <c r="L174" s="110"/>
      <c r="M174" s="38"/>
      <c r="N174" s="38"/>
    </row>
    <row r="175" spans="11:14" ht="15" customHeight="1" x14ac:dyDescent="0.25">
      <c r="K175" s="116"/>
      <c r="L175" s="110"/>
      <c r="M175" s="38"/>
      <c r="N175" s="38"/>
    </row>
    <row r="176" spans="11:14" ht="15" customHeight="1" x14ac:dyDescent="0.25">
      <c r="K176" s="116"/>
      <c r="L176" s="110"/>
      <c r="M176" s="38"/>
      <c r="N176" s="38"/>
    </row>
    <row r="177" spans="11:14" ht="15" customHeight="1" x14ac:dyDescent="0.25">
      <c r="K177" s="116"/>
      <c r="L177" s="110"/>
      <c r="M177" s="38"/>
      <c r="N177" s="38"/>
    </row>
    <row r="178" spans="11:14" ht="15" customHeight="1" x14ac:dyDescent="0.25">
      <c r="K178" s="116"/>
      <c r="L178" s="110"/>
      <c r="M178" s="38"/>
      <c r="N178" s="38"/>
    </row>
    <row r="179" spans="11:14" ht="15" customHeight="1" x14ac:dyDescent="0.25">
      <c r="K179" s="116"/>
      <c r="L179" s="110"/>
      <c r="M179" s="38"/>
      <c r="N179" s="38"/>
    </row>
    <row r="180" spans="11:14" ht="15" customHeight="1" x14ac:dyDescent="0.25">
      <c r="K180" s="116"/>
      <c r="L180" s="110"/>
      <c r="M180" s="38"/>
      <c r="N180" s="38"/>
    </row>
    <row r="181" spans="11:14" ht="15" customHeight="1" x14ac:dyDescent="0.25">
      <c r="K181" s="116"/>
      <c r="L181" s="110"/>
      <c r="M181" s="38"/>
      <c r="N181" s="38"/>
    </row>
    <row r="182" spans="11:14" ht="15" customHeight="1" x14ac:dyDescent="0.25">
      <c r="K182" s="116"/>
      <c r="L182" s="110"/>
      <c r="M182" s="38"/>
      <c r="N182" s="38"/>
    </row>
    <row r="183" spans="11:14" ht="15" customHeight="1" x14ac:dyDescent="0.25">
      <c r="K183" s="116"/>
      <c r="L183" s="110"/>
      <c r="M183" s="38"/>
      <c r="N183" s="38"/>
    </row>
    <row r="184" spans="11:14" ht="15" customHeight="1" x14ac:dyDescent="0.25">
      <c r="K184" s="116"/>
      <c r="L184" s="110"/>
      <c r="M184" s="38"/>
      <c r="N184" s="38"/>
    </row>
    <row r="185" spans="11:14" ht="15" customHeight="1" x14ac:dyDescent="0.25">
      <c r="K185" s="116"/>
      <c r="L185" s="110"/>
      <c r="M185" s="38"/>
      <c r="N185" s="38"/>
    </row>
    <row r="186" spans="11:14" ht="15" customHeight="1" x14ac:dyDescent="0.25">
      <c r="K186" s="116"/>
      <c r="L186" s="110"/>
      <c r="M186" s="38"/>
      <c r="N186" s="38"/>
    </row>
    <row r="187" spans="11:14" ht="15" customHeight="1" x14ac:dyDescent="0.25">
      <c r="K187" s="116"/>
      <c r="L187" s="110"/>
      <c r="M187" s="38"/>
      <c r="N187" s="38"/>
    </row>
    <row r="188" spans="11:14" ht="15" customHeight="1" x14ac:dyDescent="0.25">
      <c r="K188" s="116"/>
      <c r="L188" s="110"/>
      <c r="M188" s="38"/>
      <c r="N188" s="38"/>
    </row>
    <row r="189" spans="11:14" ht="15" customHeight="1" x14ac:dyDescent="0.25">
      <c r="K189" s="116"/>
      <c r="L189" s="110"/>
      <c r="M189" s="38"/>
      <c r="N189" s="38"/>
    </row>
    <row r="190" spans="11:14" ht="15" customHeight="1" x14ac:dyDescent="0.25">
      <c r="K190" s="116"/>
      <c r="L190" s="110"/>
      <c r="M190" s="38"/>
      <c r="N190" s="38"/>
    </row>
    <row r="191" spans="11:14" ht="15" customHeight="1" x14ac:dyDescent="0.25">
      <c r="K191" s="116"/>
      <c r="L191" s="110"/>
      <c r="M191" s="38"/>
      <c r="N191" s="38"/>
    </row>
    <row r="192" spans="11:14" ht="15" customHeight="1" x14ac:dyDescent="0.25">
      <c r="K192" s="116"/>
      <c r="L192" s="110"/>
      <c r="M192" s="38"/>
      <c r="N192" s="38"/>
    </row>
    <row r="193" spans="11:14" ht="15" customHeight="1" x14ac:dyDescent="0.25">
      <c r="K193" s="116"/>
      <c r="L193" s="110"/>
      <c r="M193" s="38"/>
      <c r="N193" s="38"/>
    </row>
    <row r="194" spans="11:14" ht="15" customHeight="1" x14ac:dyDescent="0.25">
      <c r="K194" s="116"/>
      <c r="L194" s="110"/>
      <c r="M194" s="38"/>
      <c r="N194" s="38"/>
    </row>
    <row r="195" spans="11:14" ht="15" customHeight="1" x14ac:dyDescent="0.25">
      <c r="K195" s="116"/>
      <c r="L195" s="110"/>
      <c r="M195" s="38"/>
      <c r="N195" s="38"/>
    </row>
    <row r="196" spans="11:14" ht="15" customHeight="1" x14ac:dyDescent="0.25">
      <c r="K196" s="116"/>
      <c r="L196" s="110"/>
      <c r="M196" s="38"/>
      <c r="N196" s="38"/>
    </row>
    <row r="197" spans="11:14" ht="15" customHeight="1" x14ac:dyDescent="0.25">
      <c r="K197" s="116"/>
      <c r="L197" s="110"/>
      <c r="M197" s="38"/>
      <c r="N197" s="38"/>
    </row>
    <row r="198" spans="11:14" ht="15" customHeight="1" x14ac:dyDescent="0.25">
      <c r="K198" s="116"/>
      <c r="L198" s="110"/>
      <c r="M198" s="38"/>
      <c r="N198" s="38"/>
    </row>
    <row r="199" spans="11:14" ht="15" customHeight="1" x14ac:dyDescent="0.25">
      <c r="K199" s="116"/>
      <c r="L199" s="110"/>
      <c r="M199" s="38"/>
      <c r="N199" s="38"/>
    </row>
    <row r="200" spans="11:14" ht="15" customHeight="1" x14ac:dyDescent="0.25">
      <c r="K200" s="116"/>
      <c r="L200" s="110"/>
      <c r="M200" s="38"/>
      <c r="N200" s="38"/>
    </row>
    <row r="201" spans="11:14" ht="15" customHeight="1" x14ac:dyDescent="0.25">
      <c r="K201" s="116"/>
      <c r="L201" s="110"/>
      <c r="M201" s="38"/>
      <c r="N201" s="38"/>
    </row>
    <row r="202" spans="11:14" ht="15" customHeight="1" x14ac:dyDescent="0.25">
      <c r="K202" s="116"/>
      <c r="L202" s="110"/>
      <c r="M202" s="38"/>
      <c r="N202" s="38"/>
    </row>
    <row r="203" spans="11:14" ht="15" customHeight="1" x14ac:dyDescent="0.25">
      <c r="K203" s="116"/>
      <c r="L203" s="110"/>
      <c r="M203" s="38"/>
      <c r="N203" s="38"/>
    </row>
    <row r="204" spans="11:14" ht="15" customHeight="1" x14ac:dyDescent="0.25">
      <c r="K204" s="116"/>
      <c r="L204" s="110"/>
      <c r="M204" s="38"/>
      <c r="N204" s="38"/>
    </row>
    <row r="205" spans="11:14" ht="15" customHeight="1" x14ac:dyDescent="0.25">
      <c r="K205" s="116"/>
      <c r="L205" s="110"/>
      <c r="M205" s="38"/>
      <c r="N205" s="38"/>
    </row>
    <row r="206" spans="11:14" ht="15" customHeight="1" x14ac:dyDescent="0.25">
      <c r="K206" s="116"/>
      <c r="L206" s="110"/>
      <c r="M206" s="38"/>
      <c r="N206" s="38"/>
    </row>
    <row r="207" spans="11:14" ht="15" customHeight="1" x14ac:dyDescent="0.25">
      <c r="K207" s="116"/>
      <c r="L207" s="110"/>
      <c r="M207" s="38"/>
      <c r="N207" s="38"/>
    </row>
    <row r="208" spans="11:14" ht="15" customHeight="1" x14ac:dyDescent="0.25">
      <c r="K208" s="116"/>
      <c r="L208" s="110"/>
      <c r="M208" s="38"/>
      <c r="N208" s="38"/>
    </row>
    <row r="209" spans="11:14" ht="15" customHeight="1" x14ac:dyDescent="0.25">
      <c r="K209" s="116"/>
      <c r="L209" s="110"/>
      <c r="M209" s="38"/>
      <c r="N209" s="38"/>
    </row>
    <row r="210" spans="11:14" ht="15" customHeight="1" x14ac:dyDescent="0.25">
      <c r="K210" s="116"/>
      <c r="L210" s="110"/>
      <c r="M210" s="38"/>
      <c r="N210" s="38"/>
    </row>
    <row r="211" spans="11:14" ht="15" customHeight="1" x14ac:dyDescent="0.25">
      <c r="K211" s="116"/>
      <c r="L211" s="110"/>
      <c r="M211" s="38"/>
      <c r="N211" s="38"/>
    </row>
    <row r="212" spans="11:14" ht="15" customHeight="1" x14ac:dyDescent="0.25">
      <c r="K212" s="116"/>
      <c r="L212" s="110"/>
      <c r="M212" s="38"/>
      <c r="N212" s="38"/>
    </row>
    <row r="213" spans="11:14" ht="15" customHeight="1" x14ac:dyDescent="0.25">
      <c r="K213" s="116"/>
      <c r="L213" s="110"/>
      <c r="M213" s="38"/>
      <c r="N213" s="38"/>
    </row>
    <row r="214" spans="11:14" ht="15" customHeight="1" x14ac:dyDescent="0.25">
      <c r="K214" s="116"/>
      <c r="L214" s="110"/>
      <c r="M214" s="38"/>
      <c r="N214" s="38"/>
    </row>
    <row r="215" spans="11:14" ht="15" customHeight="1" x14ac:dyDescent="0.25">
      <c r="K215" s="116"/>
      <c r="L215" s="110"/>
      <c r="M215" s="38"/>
      <c r="N215" s="38"/>
    </row>
    <row r="216" spans="11:14" ht="15" customHeight="1" x14ac:dyDescent="0.25">
      <c r="K216" s="116"/>
      <c r="L216" s="110"/>
      <c r="M216" s="38"/>
      <c r="N216" s="38"/>
    </row>
    <row r="217" spans="11:14" ht="15" customHeight="1" x14ac:dyDescent="0.25">
      <c r="K217" s="116"/>
      <c r="L217" s="110"/>
      <c r="M217" s="38"/>
      <c r="N217" s="38"/>
    </row>
    <row r="218" spans="11:14" ht="15" customHeight="1" x14ac:dyDescent="0.25">
      <c r="K218" s="116"/>
      <c r="L218" s="110"/>
      <c r="M218" s="38"/>
      <c r="N218" s="38"/>
    </row>
    <row r="219" spans="11:14" ht="15" customHeight="1" x14ac:dyDescent="0.25">
      <c r="K219" s="116"/>
      <c r="L219" s="110"/>
      <c r="M219" s="38"/>
      <c r="N219" s="38"/>
    </row>
    <row r="220" spans="11:14" ht="15" customHeight="1" x14ac:dyDescent="0.25">
      <c r="K220" s="116"/>
      <c r="L220" s="110"/>
      <c r="M220" s="38"/>
      <c r="N220" s="38"/>
    </row>
    <row r="221" spans="11:14" ht="15" customHeight="1" x14ac:dyDescent="0.25">
      <c r="K221" s="116"/>
      <c r="L221" s="110"/>
      <c r="M221" s="38"/>
      <c r="N221" s="38"/>
    </row>
    <row r="222" spans="11:14" ht="15" customHeight="1" x14ac:dyDescent="0.25">
      <c r="K222" s="116"/>
      <c r="L222" s="110"/>
      <c r="M222" s="38"/>
      <c r="N222" s="38"/>
    </row>
    <row r="223" spans="11:14" ht="15" customHeight="1" x14ac:dyDescent="0.25">
      <c r="K223" s="116"/>
      <c r="L223" s="110"/>
      <c r="M223" s="38"/>
      <c r="N223" s="38"/>
    </row>
    <row r="224" spans="11:14" ht="15" customHeight="1" x14ac:dyDescent="0.25">
      <c r="K224" s="116"/>
      <c r="L224" s="110"/>
      <c r="M224" s="38"/>
      <c r="N224" s="38"/>
    </row>
    <row r="225" spans="11:14" ht="15" customHeight="1" x14ac:dyDescent="0.25">
      <c r="K225" s="116"/>
      <c r="L225" s="110"/>
      <c r="M225" s="38"/>
      <c r="N225" s="38"/>
    </row>
    <row r="226" spans="11:14" ht="15" customHeight="1" x14ac:dyDescent="0.25">
      <c r="K226" s="116"/>
      <c r="L226" s="110"/>
      <c r="M226" s="38"/>
      <c r="N226" s="38"/>
    </row>
    <row r="227" spans="11:14" ht="15" customHeight="1" x14ac:dyDescent="0.25">
      <c r="K227" s="116"/>
      <c r="L227" s="110"/>
      <c r="M227" s="38"/>
      <c r="N227" s="38"/>
    </row>
    <row r="228" spans="11:14" ht="15" customHeight="1" x14ac:dyDescent="0.25">
      <c r="K228" s="116"/>
      <c r="L228" s="110"/>
      <c r="M228" s="38"/>
      <c r="N228" s="38"/>
    </row>
    <row r="229" spans="11:14" ht="15" customHeight="1" x14ac:dyDescent="0.25">
      <c r="K229" s="116"/>
      <c r="L229" s="110"/>
      <c r="M229" s="38"/>
      <c r="N229" s="38"/>
    </row>
    <row r="230" spans="11:14" ht="15" customHeight="1" x14ac:dyDescent="0.25">
      <c r="K230" s="116"/>
      <c r="L230" s="110"/>
      <c r="M230" s="38"/>
      <c r="N230" s="38"/>
    </row>
    <row r="231" spans="11:14" ht="15" customHeight="1" x14ac:dyDescent="0.25">
      <c r="K231" s="116"/>
      <c r="L231" s="110"/>
      <c r="M231" s="38"/>
      <c r="N231" s="38"/>
    </row>
  </sheetData>
  <mergeCells count="3">
    <mergeCell ref="B2:F2"/>
    <mergeCell ref="B25:D25"/>
    <mergeCell ref="B23:C2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H19"/>
  <sheetViews>
    <sheetView showGridLines="0" zoomScaleNormal="100" workbookViewId="0">
      <selection activeCell="B5" sqref="B5:G19"/>
    </sheetView>
  </sheetViews>
  <sheetFormatPr defaultRowHeight="15" x14ac:dyDescent="0.25"/>
  <cols>
    <col min="2" max="2" width="25.85546875" bestFit="1" customWidth="1"/>
    <col min="3" max="3" width="22" bestFit="1" customWidth="1"/>
    <col min="4" max="4" width="12.28515625" bestFit="1" customWidth="1"/>
    <col min="5" max="5" width="15.42578125" bestFit="1" customWidth="1"/>
    <col min="6" max="7" width="15.140625" bestFit="1" customWidth="1"/>
  </cols>
  <sheetData>
    <row r="4" spans="1:8" s="75" customFormat="1" ht="12.75" x14ac:dyDescent="0.25">
      <c r="A4" s="146"/>
      <c r="B4" s="193" t="s">
        <v>465</v>
      </c>
      <c r="H4" s="76"/>
    </row>
    <row r="5" spans="1:8" s="53" customFormat="1" ht="29.25" x14ac:dyDescent="0.25">
      <c r="A5" s="146"/>
      <c r="B5" s="147" t="s">
        <v>99</v>
      </c>
      <c r="C5" s="147" t="s">
        <v>100</v>
      </c>
      <c r="D5" s="188" t="s">
        <v>270</v>
      </c>
      <c r="E5" s="188" t="s">
        <v>271</v>
      </c>
      <c r="F5" s="188" t="s">
        <v>272</v>
      </c>
      <c r="G5" s="188" t="s">
        <v>272</v>
      </c>
      <c r="H5" s="146"/>
    </row>
    <row r="6" spans="1:8" s="53" customFormat="1" ht="12.75" x14ac:dyDescent="0.25">
      <c r="A6" s="146"/>
      <c r="B6" s="272" t="s">
        <v>71</v>
      </c>
      <c r="C6" s="276">
        <v>1</v>
      </c>
      <c r="D6" s="370"/>
      <c r="E6" s="186"/>
      <c r="F6" s="189">
        <f t="shared" ref="F6:F19" si="0">((E6/1000000)*10000*365)</f>
        <v>0</v>
      </c>
      <c r="G6" s="513">
        <f>F6*D6</f>
        <v>0</v>
      </c>
      <c r="H6" s="146"/>
    </row>
    <row r="7" spans="1:8" s="53" customFormat="1" ht="12.75" x14ac:dyDescent="0.25">
      <c r="A7" s="146"/>
      <c r="B7" s="272" t="s">
        <v>70</v>
      </c>
      <c r="C7" s="273">
        <v>1.5</v>
      </c>
      <c r="D7" s="368">
        <v>3986.9333333333302</v>
      </c>
      <c r="E7" s="104">
        <f>(E19*D7)/D19</f>
        <v>3.8260917250077742</v>
      </c>
      <c r="F7" s="378">
        <f t="shared" si="0"/>
        <v>13.965234796278375</v>
      </c>
      <c r="G7" s="513">
        <f t="shared" ref="G7:G19" si="1">F7*D7</f>
        <v>55678.460117108756</v>
      </c>
    </row>
    <row r="8" spans="1:8" s="53" customFormat="1" ht="12.75" x14ac:dyDescent="0.25">
      <c r="A8" s="146"/>
      <c r="B8" s="272" t="s">
        <v>73</v>
      </c>
      <c r="C8" s="273">
        <v>1</v>
      </c>
      <c r="D8" s="368"/>
      <c r="E8" s="104"/>
      <c r="F8" s="378">
        <f t="shared" si="0"/>
        <v>0</v>
      </c>
      <c r="G8" s="513">
        <f t="shared" si="1"/>
        <v>0</v>
      </c>
    </row>
    <row r="9" spans="1:8" s="53" customFormat="1" ht="12.75" x14ac:dyDescent="0.25">
      <c r="A9" s="146"/>
      <c r="B9" s="272" t="s">
        <v>72</v>
      </c>
      <c r="C9" s="273">
        <v>5</v>
      </c>
      <c r="D9" s="368">
        <v>8618.5333333333292</v>
      </c>
      <c r="E9" s="104">
        <f>(E19*D9)/D19</f>
        <v>8.2708428537481637</v>
      </c>
      <c r="F9" s="378">
        <f t="shared" si="0"/>
        <v>30.188576416180801</v>
      </c>
      <c r="G9" s="513">
        <f t="shared" si="1"/>
        <v>260181.25212873466</v>
      </c>
    </row>
    <row r="10" spans="1:8" s="53" customFormat="1" ht="12.75" x14ac:dyDescent="0.25">
      <c r="A10" s="146"/>
      <c r="B10" s="272" t="s">
        <v>75</v>
      </c>
      <c r="C10" s="273">
        <v>1</v>
      </c>
      <c r="D10" s="368"/>
      <c r="E10" s="104"/>
      <c r="F10" s="378">
        <f t="shared" si="0"/>
        <v>0</v>
      </c>
      <c r="G10" s="513">
        <f t="shared" si="1"/>
        <v>0</v>
      </c>
    </row>
    <row r="11" spans="1:8" s="53" customFormat="1" ht="12.75" x14ac:dyDescent="0.25">
      <c r="A11" s="146"/>
      <c r="B11" s="272" t="s">
        <v>74</v>
      </c>
      <c r="C11" s="273">
        <v>8</v>
      </c>
      <c r="D11" s="368">
        <v>7720.9333333333298</v>
      </c>
      <c r="E11" s="104">
        <f>(E19*D11)/D19</f>
        <v>7.4094540004021558</v>
      </c>
      <c r="F11" s="378">
        <f t="shared" si="0"/>
        <v>27.044507101467868</v>
      </c>
      <c r="G11" s="513">
        <f t="shared" si="1"/>
        <v>208808.8363632932</v>
      </c>
      <c r="H11" s="146"/>
    </row>
    <row r="12" spans="1:8" s="53" customFormat="1" ht="12.75" x14ac:dyDescent="0.25">
      <c r="A12" s="146"/>
      <c r="B12" s="272" t="s">
        <v>77</v>
      </c>
      <c r="C12" s="273">
        <v>1</v>
      </c>
      <c r="D12" s="368"/>
      <c r="E12" s="104"/>
      <c r="F12" s="378">
        <f t="shared" si="0"/>
        <v>0</v>
      </c>
      <c r="G12" s="513">
        <f t="shared" si="1"/>
        <v>0</v>
      </c>
      <c r="H12" s="146"/>
    </row>
    <row r="13" spans="1:8" s="75" customFormat="1" ht="12.75" x14ac:dyDescent="0.25">
      <c r="A13" s="146"/>
      <c r="B13" s="272" t="s">
        <v>76</v>
      </c>
      <c r="C13" s="273">
        <v>14</v>
      </c>
      <c r="D13" s="368">
        <v>10923.1333333333</v>
      </c>
      <c r="E13" s="104">
        <f>(E19*D13)/D19</f>
        <v>10.482470250607776</v>
      </c>
      <c r="F13" s="378">
        <f t="shared" si="0"/>
        <v>38.261016414718384</v>
      </c>
      <c r="G13" s="513">
        <f t="shared" si="1"/>
        <v>417930.18376682297</v>
      </c>
    </row>
    <row r="14" spans="1:8" s="53" customFormat="1" ht="12.75" x14ac:dyDescent="0.25">
      <c r="A14" s="146"/>
      <c r="B14" s="272" t="s">
        <v>79</v>
      </c>
      <c r="C14" s="273">
        <v>1</v>
      </c>
      <c r="D14" s="368"/>
      <c r="E14" s="104"/>
      <c r="F14" s="378">
        <f t="shared" si="0"/>
        <v>0</v>
      </c>
      <c r="G14" s="513">
        <f t="shared" si="1"/>
        <v>0</v>
      </c>
      <c r="H14" s="146"/>
    </row>
    <row r="15" spans="1:8" s="53" customFormat="1" ht="12.75" x14ac:dyDescent="0.25">
      <c r="A15" s="146"/>
      <c r="B15" s="272" t="s">
        <v>78</v>
      </c>
      <c r="C15" s="273">
        <v>20</v>
      </c>
      <c r="D15" s="368">
        <v>10806.5333333333</v>
      </c>
      <c r="E15" s="104">
        <f>(E19*D15)/D19</f>
        <v>10.370574149560378</v>
      </c>
      <c r="F15" s="378">
        <f t="shared" si="0"/>
        <v>37.852595645895384</v>
      </c>
      <c r="G15" s="513">
        <f t="shared" si="1"/>
        <v>409055.3366005554</v>
      </c>
      <c r="H15" s="146"/>
    </row>
    <row r="16" spans="1:8" s="53" customFormat="1" ht="12.75" x14ac:dyDescent="0.25">
      <c r="A16" s="146"/>
      <c r="B16" s="272" t="s">
        <v>81</v>
      </c>
      <c r="C16" s="273">
        <v>1</v>
      </c>
      <c r="D16" s="368"/>
      <c r="E16" s="104"/>
      <c r="F16" s="378">
        <f t="shared" si="0"/>
        <v>0</v>
      </c>
      <c r="G16" s="513">
        <f t="shared" si="1"/>
        <v>0</v>
      </c>
      <c r="H16" s="146"/>
    </row>
    <row r="17" spans="1:8" s="53" customFormat="1" ht="12.75" x14ac:dyDescent="0.25">
      <c r="A17" s="146"/>
      <c r="B17" s="272" t="s">
        <v>80</v>
      </c>
      <c r="C17" s="273">
        <v>26</v>
      </c>
      <c r="D17" s="368">
        <v>11695.5333333333</v>
      </c>
      <c r="E17" s="104">
        <f>($E$19*D17)/$D$19</f>
        <v>11.22370994571078</v>
      </c>
      <c r="F17" s="378">
        <f t="shared" si="0"/>
        <v>40.966541301844345</v>
      </c>
      <c r="G17" s="513">
        <f t="shared" si="1"/>
        <v>479125.54934709589</v>
      </c>
      <c r="H17" s="146"/>
    </row>
    <row r="18" spans="1:8" s="53" customFormat="1" ht="12.75" x14ac:dyDescent="0.25">
      <c r="A18" s="146"/>
      <c r="B18" s="272" t="s">
        <v>83</v>
      </c>
      <c r="C18" s="273">
        <v>1</v>
      </c>
      <c r="D18" s="368"/>
      <c r="E18" s="185"/>
      <c r="F18" s="189">
        <f t="shared" si="0"/>
        <v>0</v>
      </c>
      <c r="G18" s="513">
        <f t="shared" si="1"/>
        <v>0</v>
      </c>
      <c r="H18" s="146"/>
    </row>
    <row r="19" spans="1:8" s="53" customFormat="1" ht="12.75" x14ac:dyDescent="0.25">
      <c r="A19" s="146"/>
      <c r="B19" s="277" t="s">
        <v>82</v>
      </c>
      <c r="C19" s="278">
        <v>200</v>
      </c>
      <c r="D19" s="369">
        <v>14588.5333333333</v>
      </c>
      <c r="E19" s="291">
        <v>14</v>
      </c>
      <c r="F19" s="382">
        <f t="shared" si="0"/>
        <v>51.099999999999994</v>
      </c>
      <c r="G19" s="514">
        <f t="shared" si="1"/>
        <v>745474.0533333316</v>
      </c>
      <c r="H19" s="14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APRESENTAÇÃO</vt:lpstr>
      <vt:lpstr>LEGENDA</vt:lpstr>
      <vt:lpstr>1 Sol</vt:lpstr>
      <vt:lpstr>2 Chuva</vt:lpstr>
      <vt:lpstr>3 Vento</vt:lpstr>
      <vt:lpstr>4 Soerguimento</vt:lpstr>
      <vt:lpstr>5 Nascente</vt:lpstr>
      <vt:lpstr>6  CO2</vt:lpstr>
      <vt:lpstr>7 CH4</vt:lpstr>
      <vt:lpstr>8  N2</vt:lpstr>
      <vt:lpstr>9 -18 Nutrientes solo prof.</vt:lpstr>
      <vt:lpstr>19-31 Restauração</vt:lpstr>
      <vt:lpstr>EmUSD - EmR$</vt:lpstr>
      <vt:lpstr>Avaliação Emergética</vt:lpstr>
      <vt:lpstr>Restaura - bens </vt:lpstr>
      <vt:lpstr>Restaura -  serviços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PESSOAL</dc:creator>
  <cp:lastModifiedBy>Thiago Junqueira Roncon</cp:lastModifiedBy>
  <cp:lastPrinted>2011-05-09T20:14:19Z</cp:lastPrinted>
  <dcterms:created xsi:type="dcterms:W3CDTF">2011-03-17T11:29:15Z</dcterms:created>
  <dcterms:modified xsi:type="dcterms:W3CDTF">2015-11-17T20:03:10Z</dcterms:modified>
</cp:coreProperties>
</file>